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InkAnnotation="0" autoCompressPictures="0"/>
  <mc:AlternateContent xmlns:mc="http://schemas.openxmlformats.org/markup-compatibility/2006">
    <mc:Choice Requires="x15">
      <x15ac:absPath xmlns:x15ac="http://schemas.microsoft.com/office/spreadsheetml/2010/11/ac" url="W:\P\Powersoft\Tools\"/>
    </mc:Choice>
  </mc:AlternateContent>
  <xr:revisionPtr revIDLastSave="0" documentId="13_ncr:1_{976EBDC2-020F-46E4-9E0A-783339926A2B}" xr6:coauthVersionLast="47" xr6:coauthVersionMax="47" xr10:uidLastSave="{00000000-0000-0000-0000-000000000000}"/>
  <workbookProtection workbookAlgorithmName="SHA-512" workbookHashValue="xw9ZGh2vlZmQwzwzOmqkScSxeEljJZHP0paDcnjjB1vGYDzG9M12euxs2fgnRgILXwujoNMW/Sn+67SQ8NdWgQ==" workbookSaltValue="xokggIbmzqqQT76EG3MdTA==" workbookSpinCount="100000" lockStructure="1"/>
  <bookViews>
    <workbookView xWindow="38280" yWindow="-120" windowWidth="29040" windowHeight="15720" xr2:uid="{00000000-000D-0000-FFFF-FFFF00000000}"/>
  </bookViews>
  <sheets>
    <sheet name="START" sheetId="15" r:id="rId1"/>
    <sheet name="INSTALL Series - 8 Channels" sheetId="16" r:id="rId2"/>
    <sheet name="INSTALL Series - 4 Channels" sheetId="19" r:id="rId3"/>
    <sheet name="INSTALL Series - 2 Channels" sheetId="20" r:id="rId4"/>
  </sheets>
  <externalReferences>
    <externalReference r:id="rId5"/>
  </externalReferences>
  <definedNames>
    <definedName name="Amplifiers">[1]EXTRA!$C$3:$C$9</definedName>
    <definedName name="bandwidth">[1]EXTRA!$AL$3:$AL$7</definedName>
    <definedName name="Loudspeakers">[1]EXTRA!$B$3:$B$40</definedName>
    <definedName name="Martin_Audio" localSheetId="3">[1]LOUDSPEAKERS!#REF!</definedName>
    <definedName name="Martin_Audio">[1]LOUDSPEAKERS!#REF!</definedName>
    <definedName name="showmypic">INDIRECT([1]IMAGES!$A$1)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96" i="19" l="1"/>
  <c r="P125" i="16"/>
  <c r="P24" i="16"/>
  <c r="P26" i="16" s="1"/>
  <c r="P20" i="16"/>
  <c r="P21" i="16" s="1"/>
  <c r="P6" i="16"/>
  <c r="P13" i="16" s="1"/>
  <c r="P7" i="16" l="1"/>
  <c r="V26" i="19" l="1"/>
  <c r="W26" i="19"/>
  <c r="X26" i="19"/>
  <c r="Y26" i="19"/>
  <c r="V20" i="19"/>
  <c r="V21" i="19" s="1"/>
  <c r="W20" i="19"/>
  <c r="W21" i="19" s="1"/>
  <c r="X20" i="19"/>
  <c r="X21" i="19" s="1"/>
  <c r="Y20" i="19"/>
  <c r="Y21" i="19" s="1"/>
  <c r="V15" i="19"/>
  <c r="W15" i="19"/>
  <c r="X15" i="19"/>
  <c r="Y15" i="19"/>
  <c r="V5" i="19"/>
  <c r="W5" i="19"/>
  <c r="X5" i="19"/>
  <c r="Y5" i="19"/>
  <c r="V6" i="19"/>
  <c r="V13" i="19" s="1"/>
  <c r="W6" i="19"/>
  <c r="W13" i="19" s="1"/>
  <c r="X6" i="19"/>
  <c r="X13" i="19" s="1"/>
  <c r="Y6" i="19"/>
  <c r="Y13" i="19" s="1"/>
  <c r="V7" i="19" l="1"/>
  <c r="X7" i="19"/>
  <c r="Y7" i="19"/>
  <c r="W7" i="19"/>
  <c r="R20" i="16" l="1"/>
  <c r="R21" i="16" s="1"/>
  <c r="S20" i="16"/>
  <c r="S21" i="16" s="1"/>
  <c r="Q125" i="16" l="1"/>
  <c r="R125" i="16"/>
  <c r="S125" i="16"/>
  <c r="S24" i="16"/>
  <c r="R24" i="16"/>
  <c r="Q24" i="16"/>
  <c r="Q20" i="16"/>
  <c r="Q21" i="16" s="1"/>
  <c r="Q5" i="16" l="1"/>
  <c r="R5" i="16"/>
  <c r="S5" i="16"/>
  <c r="J18" i="16"/>
  <c r="F18" i="16"/>
  <c r="D93" i="19"/>
  <c r="R125" i="19"/>
  <c r="S125" i="19"/>
  <c r="T125" i="19"/>
  <c r="U125" i="19"/>
  <c r="O49" i="19"/>
  <c r="O48" i="19"/>
  <c r="O30" i="19"/>
  <c r="F54" i="19" s="1"/>
  <c r="O29" i="19"/>
  <c r="O49" i="20"/>
  <c r="O48" i="20"/>
  <c r="O30" i="20"/>
  <c r="O29" i="20"/>
  <c r="D5" i="19"/>
  <c r="R125" i="20"/>
  <c r="R26" i="20"/>
  <c r="R20" i="20"/>
  <c r="R15" i="20"/>
  <c r="O15" i="20" s="1"/>
  <c r="R6" i="20"/>
  <c r="R13" i="20" s="1"/>
  <c r="O13" i="20" s="1"/>
  <c r="R5" i="20"/>
  <c r="R26" i="19"/>
  <c r="R20" i="19"/>
  <c r="R21" i="19" s="1"/>
  <c r="R15" i="19"/>
  <c r="R6" i="19"/>
  <c r="R13" i="19" s="1"/>
  <c r="R5" i="19"/>
  <c r="R7" i="19" s="1"/>
  <c r="E123" i="20"/>
  <c r="F123" i="20"/>
  <c r="G123" i="20"/>
  <c r="H123" i="20"/>
  <c r="I123" i="20"/>
  <c r="J123" i="20"/>
  <c r="G123" i="19"/>
  <c r="H123" i="19"/>
  <c r="I123" i="19"/>
  <c r="J123" i="19"/>
  <c r="E10" i="16"/>
  <c r="E10" i="19"/>
  <c r="O11" i="20"/>
  <c r="E101" i="20" s="1"/>
  <c r="AB11" i="20"/>
  <c r="D102" i="20"/>
  <c r="E102" i="20"/>
  <c r="F102" i="20"/>
  <c r="G102" i="20"/>
  <c r="H102" i="20"/>
  <c r="I102" i="20"/>
  <c r="J102" i="20"/>
  <c r="C102" i="20"/>
  <c r="D22" i="19"/>
  <c r="D26" i="19"/>
  <c r="D27" i="19" s="1"/>
  <c r="O11" i="19"/>
  <c r="G101" i="19" s="1"/>
  <c r="E22" i="19"/>
  <c r="E53" i="19"/>
  <c r="F22" i="19"/>
  <c r="G100" i="19"/>
  <c r="H100" i="19"/>
  <c r="I100" i="19"/>
  <c r="J100" i="19"/>
  <c r="G100" i="20"/>
  <c r="H100" i="20"/>
  <c r="I100" i="20"/>
  <c r="J100" i="20"/>
  <c r="C22" i="19"/>
  <c r="D142" i="19"/>
  <c r="E142" i="19"/>
  <c r="F142" i="19"/>
  <c r="C142" i="19"/>
  <c r="AC16" i="19"/>
  <c r="AB16" i="19"/>
  <c r="D134" i="20"/>
  <c r="D135" i="20"/>
  <c r="D138" i="20"/>
  <c r="D141" i="20"/>
  <c r="D142" i="20"/>
  <c r="C142" i="20"/>
  <c r="C141" i="20"/>
  <c r="C135" i="20"/>
  <c r="C134" i="20"/>
  <c r="D134" i="19"/>
  <c r="E134" i="19"/>
  <c r="F134" i="19"/>
  <c r="D135" i="19"/>
  <c r="E135" i="19"/>
  <c r="F135" i="19"/>
  <c r="D138" i="19"/>
  <c r="E138" i="19"/>
  <c r="F138" i="19"/>
  <c r="D141" i="19"/>
  <c r="E141" i="19"/>
  <c r="F141" i="19"/>
  <c r="C141" i="19"/>
  <c r="C135" i="19"/>
  <c r="C134" i="19"/>
  <c r="D134" i="16"/>
  <c r="E134" i="16"/>
  <c r="F134" i="16"/>
  <c r="G134" i="16"/>
  <c r="H134" i="16"/>
  <c r="I134" i="16"/>
  <c r="J134" i="16"/>
  <c r="D135" i="16"/>
  <c r="E135" i="16"/>
  <c r="F135" i="16"/>
  <c r="G135" i="16"/>
  <c r="H135" i="16"/>
  <c r="I135" i="16"/>
  <c r="J135" i="16"/>
  <c r="D138" i="16"/>
  <c r="D139" i="16" s="1"/>
  <c r="E138" i="16"/>
  <c r="E139" i="16" s="1"/>
  <c r="F138" i="16"/>
  <c r="F139" i="16" s="1"/>
  <c r="G138" i="16"/>
  <c r="G139" i="16" s="1"/>
  <c r="H138" i="16"/>
  <c r="H139" i="16" s="1"/>
  <c r="I138" i="16"/>
  <c r="I139" i="16" s="1"/>
  <c r="J138" i="16"/>
  <c r="J139" i="16" s="1"/>
  <c r="D141" i="16"/>
  <c r="E141" i="16"/>
  <c r="F141" i="16"/>
  <c r="G141" i="16"/>
  <c r="H141" i="16"/>
  <c r="I141" i="16"/>
  <c r="J141" i="16"/>
  <c r="D142" i="16"/>
  <c r="E142" i="16"/>
  <c r="F142" i="16"/>
  <c r="G142" i="16"/>
  <c r="H142" i="16"/>
  <c r="I142" i="16"/>
  <c r="J142" i="16"/>
  <c r="C142" i="16"/>
  <c r="C141" i="16"/>
  <c r="C135" i="16"/>
  <c r="C134" i="16"/>
  <c r="E10" i="20"/>
  <c r="B96" i="20"/>
  <c r="H96" i="20" s="1"/>
  <c r="C21" i="19"/>
  <c r="D21" i="19"/>
  <c r="E21" i="19"/>
  <c r="F21" i="19"/>
  <c r="J96" i="19"/>
  <c r="S5" i="20"/>
  <c r="S6" i="20"/>
  <c r="S15" i="20"/>
  <c r="S20" i="20"/>
  <c r="S21" i="20" s="1"/>
  <c r="S26" i="20"/>
  <c r="J142" i="20"/>
  <c r="I142" i="20"/>
  <c r="H142" i="20"/>
  <c r="G142" i="20"/>
  <c r="F142" i="20"/>
  <c r="E142" i="20"/>
  <c r="J141" i="20"/>
  <c r="I141" i="20"/>
  <c r="H141" i="20"/>
  <c r="G141" i="20"/>
  <c r="F141" i="20"/>
  <c r="E141" i="20"/>
  <c r="J138" i="20"/>
  <c r="J139" i="20" s="1"/>
  <c r="I138" i="20"/>
  <c r="I139" i="20" s="1"/>
  <c r="H138" i="20"/>
  <c r="H139" i="20" s="1"/>
  <c r="G138" i="20"/>
  <c r="G139" i="20" s="1"/>
  <c r="F138" i="20"/>
  <c r="F139" i="20" s="1"/>
  <c r="E138" i="20"/>
  <c r="E139" i="20" s="1"/>
  <c r="C138" i="20"/>
  <c r="M137" i="20"/>
  <c r="J135" i="20"/>
  <c r="I135" i="20"/>
  <c r="H135" i="20"/>
  <c r="G135" i="20"/>
  <c r="F135" i="20"/>
  <c r="E135" i="20"/>
  <c r="J134" i="20"/>
  <c r="I134" i="20"/>
  <c r="H134" i="20"/>
  <c r="G134" i="20"/>
  <c r="F134" i="20"/>
  <c r="E134" i="20"/>
  <c r="M133" i="20"/>
  <c r="S125" i="20"/>
  <c r="Q125" i="20"/>
  <c r="J122" i="20"/>
  <c r="I122" i="20"/>
  <c r="H122" i="20"/>
  <c r="G122" i="20"/>
  <c r="J114" i="20"/>
  <c r="I114" i="20"/>
  <c r="H114" i="20"/>
  <c r="G114" i="20"/>
  <c r="J113" i="20"/>
  <c r="I113" i="20"/>
  <c r="H113" i="20"/>
  <c r="G113" i="20"/>
  <c r="J112" i="20"/>
  <c r="I112" i="20"/>
  <c r="H112" i="20"/>
  <c r="G112" i="20"/>
  <c r="F100" i="20"/>
  <c r="E100" i="20"/>
  <c r="D100" i="20"/>
  <c r="C100" i="20"/>
  <c r="J93" i="20"/>
  <c r="I93" i="20"/>
  <c r="H93" i="20"/>
  <c r="G93" i="20"/>
  <c r="F93" i="20"/>
  <c r="E93" i="20"/>
  <c r="O86" i="20"/>
  <c r="N46" i="20"/>
  <c r="L47" i="20" s="1"/>
  <c r="O27" i="20"/>
  <c r="U26" i="20"/>
  <c r="T26" i="20"/>
  <c r="Q26" i="20"/>
  <c r="P26" i="20"/>
  <c r="J26" i="20"/>
  <c r="I26" i="20"/>
  <c r="I27" i="20" s="1"/>
  <c r="H26" i="20"/>
  <c r="H27" i="20"/>
  <c r="G26" i="20"/>
  <c r="G27" i="20" s="1"/>
  <c r="F26" i="20"/>
  <c r="F27" i="20"/>
  <c r="E26" i="20"/>
  <c r="E27" i="20" s="1"/>
  <c r="O24" i="20"/>
  <c r="O23" i="20"/>
  <c r="J22" i="20"/>
  <c r="I22" i="20"/>
  <c r="I24" i="20" s="1"/>
  <c r="I133" i="20" s="1"/>
  <c r="H22" i="20"/>
  <c r="H25" i="20" s="1"/>
  <c r="G22" i="20"/>
  <c r="F22" i="20"/>
  <c r="F25" i="20" s="1"/>
  <c r="F99" i="20" s="1"/>
  <c r="E22" i="20"/>
  <c r="E24" i="20" s="1"/>
  <c r="E131" i="20" s="1"/>
  <c r="D22" i="20"/>
  <c r="D53" i="20"/>
  <c r="C22" i="20"/>
  <c r="C26" i="20"/>
  <c r="J21" i="20"/>
  <c r="I21" i="20"/>
  <c r="H21" i="20"/>
  <c r="G21" i="20"/>
  <c r="F21" i="20"/>
  <c r="E21" i="20"/>
  <c r="D21" i="20"/>
  <c r="C21" i="20"/>
  <c r="U20" i="20"/>
  <c r="U21" i="20"/>
  <c r="T20" i="20"/>
  <c r="T21" i="20" s="1"/>
  <c r="Q20" i="20"/>
  <c r="Q21" i="20" s="1"/>
  <c r="P20" i="20"/>
  <c r="P21" i="20" s="1"/>
  <c r="O19" i="20"/>
  <c r="O18" i="20"/>
  <c r="J18" i="20"/>
  <c r="I18" i="20"/>
  <c r="H18" i="20"/>
  <c r="H94" i="20" s="1"/>
  <c r="G18" i="20"/>
  <c r="F18" i="20"/>
  <c r="E18" i="20"/>
  <c r="O17" i="20"/>
  <c r="Y16" i="20"/>
  <c r="X16" i="20" s="1"/>
  <c r="D18" i="20"/>
  <c r="D93" i="20"/>
  <c r="O16" i="20"/>
  <c r="X15" i="20"/>
  <c r="U15" i="20"/>
  <c r="T15" i="20"/>
  <c r="Q15" i="20"/>
  <c r="P15" i="20"/>
  <c r="X14" i="20"/>
  <c r="X13" i="20"/>
  <c r="O12" i="20"/>
  <c r="AB10" i="20"/>
  <c r="O10" i="20"/>
  <c r="O9" i="20"/>
  <c r="O8" i="20"/>
  <c r="U6" i="20"/>
  <c r="U13" i="20" s="1"/>
  <c r="T6" i="20"/>
  <c r="T13" i="20" s="1"/>
  <c r="Q6" i="20"/>
  <c r="Q13" i="20" s="1"/>
  <c r="P6" i="20"/>
  <c r="P13" i="20" s="1"/>
  <c r="D6" i="20"/>
  <c r="U5" i="20"/>
  <c r="T5" i="20"/>
  <c r="P5" i="20"/>
  <c r="H5" i="20"/>
  <c r="D5" i="20"/>
  <c r="D4" i="20"/>
  <c r="H3" i="20"/>
  <c r="H122" i="19"/>
  <c r="I122" i="19"/>
  <c r="J122" i="19"/>
  <c r="H112" i="19"/>
  <c r="I112" i="19"/>
  <c r="J112" i="19"/>
  <c r="H113" i="19"/>
  <c r="I113" i="19"/>
  <c r="J113" i="19"/>
  <c r="H114" i="19"/>
  <c r="I114" i="19"/>
  <c r="J114" i="19"/>
  <c r="G122" i="19"/>
  <c r="G112" i="19"/>
  <c r="G113" i="19"/>
  <c r="G114" i="19"/>
  <c r="H3" i="19"/>
  <c r="H5" i="19"/>
  <c r="G18" i="19"/>
  <c r="G94" i="19" s="1"/>
  <c r="H18" i="19"/>
  <c r="H94" i="19" s="1"/>
  <c r="I18" i="19"/>
  <c r="J18" i="19"/>
  <c r="J94" i="19" s="1"/>
  <c r="G21" i="19"/>
  <c r="H21" i="19"/>
  <c r="I21" i="19"/>
  <c r="J21" i="19"/>
  <c r="G22" i="19"/>
  <c r="G23" i="19" s="1"/>
  <c r="G26" i="19"/>
  <c r="H22" i="19"/>
  <c r="I22" i="19"/>
  <c r="J22" i="19"/>
  <c r="H26" i="19"/>
  <c r="H137" i="19" s="1"/>
  <c r="H27" i="19"/>
  <c r="I26" i="19"/>
  <c r="I137" i="19" s="1"/>
  <c r="J26" i="19"/>
  <c r="J27" i="19" s="1"/>
  <c r="J25" i="19" s="1"/>
  <c r="G93" i="19"/>
  <c r="H93" i="19"/>
  <c r="I93" i="19"/>
  <c r="J93" i="19"/>
  <c r="G134" i="19"/>
  <c r="H134" i="19"/>
  <c r="I134" i="19"/>
  <c r="J134" i="19"/>
  <c r="G135" i="19"/>
  <c r="H135" i="19"/>
  <c r="I135" i="19"/>
  <c r="J135" i="19"/>
  <c r="G138" i="19"/>
  <c r="G139" i="19" s="1"/>
  <c r="H138" i="19"/>
  <c r="H139" i="19" s="1"/>
  <c r="I138" i="19"/>
  <c r="I139" i="19" s="1"/>
  <c r="J138" i="19"/>
  <c r="J139" i="19" s="1"/>
  <c r="G141" i="19"/>
  <c r="H141" i="19"/>
  <c r="I141" i="19"/>
  <c r="J141" i="19"/>
  <c r="G142" i="19"/>
  <c r="H142" i="19"/>
  <c r="I142" i="19"/>
  <c r="J142" i="19"/>
  <c r="O7" i="19"/>
  <c r="U26" i="19"/>
  <c r="T26" i="19"/>
  <c r="S26" i="19"/>
  <c r="Q26" i="19"/>
  <c r="P26" i="19"/>
  <c r="U20" i="19"/>
  <c r="U21" i="19" s="1"/>
  <c r="T20" i="19"/>
  <c r="T21" i="19"/>
  <c r="S20" i="19"/>
  <c r="S21" i="19" s="1"/>
  <c r="Q20" i="19"/>
  <c r="Q21" i="19" s="1"/>
  <c r="P20" i="19"/>
  <c r="P21" i="19" s="1"/>
  <c r="O21" i="19" s="1"/>
  <c r="U15" i="19"/>
  <c r="T15" i="19"/>
  <c r="S15" i="19"/>
  <c r="Q15" i="19"/>
  <c r="P15" i="19"/>
  <c r="U6" i="19"/>
  <c r="U13" i="19" s="1"/>
  <c r="T6" i="19"/>
  <c r="T13" i="19" s="1"/>
  <c r="S6" i="19"/>
  <c r="Q6" i="19"/>
  <c r="P6" i="19"/>
  <c r="U5" i="19"/>
  <c r="T5" i="19"/>
  <c r="S5" i="19"/>
  <c r="P5" i="19"/>
  <c r="C138" i="19"/>
  <c r="M137" i="19"/>
  <c r="M133" i="19"/>
  <c r="Q125" i="19"/>
  <c r="F93" i="19"/>
  <c r="O86" i="19"/>
  <c r="N46" i="19"/>
  <c r="L47" i="19" s="1"/>
  <c r="O27" i="19"/>
  <c r="M5" i="19" s="1"/>
  <c r="O12" i="19"/>
  <c r="O24" i="19"/>
  <c r="O26" i="19"/>
  <c r="O8" i="19"/>
  <c r="I31" i="19" s="1"/>
  <c r="O10" i="19"/>
  <c r="O23" i="19"/>
  <c r="O19" i="19"/>
  <c r="O18" i="19"/>
  <c r="O17" i="19"/>
  <c r="O16" i="19"/>
  <c r="AB15" i="19"/>
  <c r="D18" i="19" s="1"/>
  <c r="AB14" i="19"/>
  <c r="AB13" i="19"/>
  <c r="E18" i="19" s="1"/>
  <c r="O13" i="19"/>
  <c r="AF11" i="19"/>
  <c r="AF10" i="19"/>
  <c r="O9" i="19"/>
  <c r="D6" i="19"/>
  <c r="D4" i="19"/>
  <c r="C93" i="19"/>
  <c r="E93" i="19"/>
  <c r="F112" i="20"/>
  <c r="E112" i="20"/>
  <c r="F114" i="20"/>
  <c r="E114" i="20"/>
  <c r="C138" i="16"/>
  <c r="C139" i="16" s="1"/>
  <c r="M137" i="16"/>
  <c r="M133" i="16"/>
  <c r="B96" i="16"/>
  <c r="O86" i="16"/>
  <c r="N46" i="16"/>
  <c r="L47" i="16" s="1"/>
  <c r="O27" i="16"/>
  <c r="O24" i="16"/>
  <c r="O23" i="16"/>
  <c r="J22" i="16"/>
  <c r="J26" i="16"/>
  <c r="J27" i="16" s="1"/>
  <c r="I22" i="16"/>
  <c r="H22" i="16"/>
  <c r="H26" i="16"/>
  <c r="G22" i="16"/>
  <c r="F22" i="16"/>
  <c r="F26" i="16"/>
  <c r="F27" i="16" s="1"/>
  <c r="E22" i="16"/>
  <c r="E26" i="16"/>
  <c r="D22" i="16"/>
  <c r="D26" i="16"/>
  <c r="D27" i="16" s="1"/>
  <c r="C22" i="16"/>
  <c r="J21" i="16"/>
  <c r="I21" i="16"/>
  <c r="H21" i="16"/>
  <c r="G21" i="16"/>
  <c r="F21" i="16"/>
  <c r="E21" i="16"/>
  <c r="D21" i="16"/>
  <c r="C21" i="16"/>
  <c r="O20" i="16"/>
  <c r="O19" i="16"/>
  <c r="O18" i="16"/>
  <c r="O17" i="16"/>
  <c r="W16" i="16"/>
  <c r="V16" i="16" s="1"/>
  <c r="J93" i="16"/>
  <c r="J94" i="16" s="1"/>
  <c r="O16" i="16"/>
  <c r="V15" i="16"/>
  <c r="I18" i="16" s="1"/>
  <c r="O15" i="16"/>
  <c r="V14" i="16"/>
  <c r="H18" i="16" s="1"/>
  <c r="V13" i="16"/>
  <c r="G18" i="16" s="1"/>
  <c r="Z11" i="16"/>
  <c r="O11" i="16"/>
  <c r="Z10" i="16"/>
  <c r="O10" i="16"/>
  <c r="O9" i="16"/>
  <c r="O8" i="16"/>
  <c r="D6" i="16"/>
  <c r="H5" i="16"/>
  <c r="D5" i="16"/>
  <c r="D4" i="16"/>
  <c r="O3" i="16"/>
  <c r="H3" i="16"/>
  <c r="C26" i="16" s="1"/>
  <c r="C27" i="16" s="1"/>
  <c r="C25" i="16" s="1"/>
  <c r="I26" i="16"/>
  <c r="I27" i="16" s="1"/>
  <c r="F93" i="16"/>
  <c r="I93" i="16"/>
  <c r="E113" i="20"/>
  <c r="F113" i="20"/>
  <c r="F122" i="20"/>
  <c r="E122" i="20"/>
  <c r="D54" i="20"/>
  <c r="C93" i="20"/>
  <c r="C18" i="20"/>
  <c r="C94" i="20" s="1"/>
  <c r="O15" i="19"/>
  <c r="H93" i="16"/>
  <c r="G93" i="16"/>
  <c r="D93" i="16"/>
  <c r="C93" i="16"/>
  <c r="E93" i="16"/>
  <c r="I94" i="19"/>
  <c r="I23" i="19"/>
  <c r="O26" i="20"/>
  <c r="G27" i="19"/>
  <c r="G25" i="19" s="1"/>
  <c r="J24" i="19"/>
  <c r="J133" i="19" s="1"/>
  <c r="J27" i="20"/>
  <c r="E94" i="20"/>
  <c r="Q5" i="20"/>
  <c r="Q7" i="20" s="1"/>
  <c r="O3" i="20"/>
  <c r="Q5" i="19"/>
  <c r="J23" i="20"/>
  <c r="D54" i="19"/>
  <c r="C53" i="19"/>
  <c r="F53" i="19"/>
  <c r="F139" i="19" s="1"/>
  <c r="D53" i="19"/>
  <c r="D139" i="19" s="1"/>
  <c r="C54" i="19"/>
  <c r="F100" i="19"/>
  <c r="F102" i="19"/>
  <c r="C54" i="20"/>
  <c r="D26" i="20"/>
  <c r="D27" i="20"/>
  <c r="C53" i="20"/>
  <c r="C139" i="20" s="1"/>
  <c r="E26" i="19"/>
  <c r="E100" i="19"/>
  <c r="C26" i="19"/>
  <c r="H102" i="19"/>
  <c r="O3" i="19"/>
  <c r="D100" i="19"/>
  <c r="E102" i="19"/>
  <c r="D102" i="19"/>
  <c r="J102" i="19"/>
  <c r="G102" i="19"/>
  <c r="I102" i="19"/>
  <c r="F26" i="19"/>
  <c r="F24" i="19" s="1"/>
  <c r="I96" i="19"/>
  <c r="C100" i="19"/>
  <c r="C102" i="19"/>
  <c r="D25" i="20" l="1"/>
  <c r="E54" i="19"/>
  <c r="C139" i="19"/>
  <c r="C137" i="19"/>
  <c r="O20" i="20"/>
  <c r="D24" i="20"/>
  <c r="D29" i="20" s="1"/>
  <c r="D23" i="20"/>
  <c r="H24" i="19"/>
  <c r="O20" i="19"/>
  <c r="P7" i="20"/>
  <c r="E137" i="20"/>
  <c r="I23" i="20"/>
  <c r="I137" i="20"/>
  <c r="C24" i="19"/>
  <c r="C131" i="19" s="1"/>
  <c r="I24" i="19"/>
  <c r="I133" i="19" s="1"/>
  <c r="C27" i="19"/>
  <c r="C25" i="19" s="1"/>
  <c r="E137" i="19"/>
  <c r="U7" i="19"/>
  <c r="T7" i="19"/>
  <c r="F137" i="20"/>
  <c r="R7" i="20"/>
  <c r="O7" i="20" s="1"/>
  <c r="F24" i="20"/>
  <c r="F29" i="20" s="1"/>
  <c r="G137" i="20"/>
  <c r="I94" i="20"/>
  <c r="T7" i="20"/>
  <c r="J24" i="20"/>
  <c r="J131" i="20" s="1"/>
  <c r="F94" i="20"/>
  <c r="G94" i="20"/>
  <c r="S7" i="20"/>
  <c r="S13" i="20"/>
  <c r="H96" i="19"/>
  <c r="P7" i="19"/>
  <c r="P13" i="19"/>
  <c r="F18" i="19"/>
  <c r="F94" i="19" s="1"/>
  <c r="Q7" i="19"/>
  <c r="Q13" i="19"/>
  <c r="S7" i="19"/>
  <c r="S13" i="19"/>
  <c r="J137" i="19"/>
  <c r="C101" i="19"/>
  <c r="F27" i="19"/>
  <c r="F25" i="19" s="1"/>
  <c r="F99" i="19" s="1"/>
  <c r="G137" i="19"/>
  <c r="J23" i="19"/>
  <c r="J90" i="19" s="1"/>
  <c r="J92" i="19" s="1"/>
  <c r="E139" i="19"/>
  <c r="K22" i="19"/>
  <c r="L22" i="19" s="1"/>
  <c r="G96" i="19"/>
  <c r="G26" i="16"/>
  <c r="G27" i="16" s="1"/>
  <c r="G25" i="16" s="1"/>
  <c r="G99" i="16" s="1"/>
  <c r="G100" i="16" s="1"/>
  <c r="G101" i="16" s="1"/>
  <c r="D31" i="16"/>
  <c r="D32" i="16" s="1"/>
  <c r="D33" i="16" s="1"/>
  <c r="I25" i="16"/>
  <c r="I99" i="16" s="1"/>
  <c r="I100" i="16" s="1"/>
  <c r="D25" i="16"/>
  <c r="D99" i="16" s="1"/>
  <c r="D100" i="16" s="1"/>
  <c r="O85" i="19"/>
  <c r="I101" i="19"/>
  <c r="D101" i="19"/>
  <c r="E101" i="19"/>
  <c r="J101" i="19"/>
  <c r="H101" i="19"/>
  <c r="F101" i="19"/>
  <c r="G90" i="19"/>
  <c r="G92" i="19" s="1"/>
  <c r="K1" i="19"/>
  <c r="E94" i="19"/>
  <c r="I32" i="19"/>
  <c r="G99" i="19"/>
  <c r="J131" i="19"/>
  <c r="F133" i="19"/>
  <c r="F131" i="19"/>
  <c r="E31" i="19"/>
  <c r="E32" i="19" s="1"/>
  <c r="J31" i="19"/>
  <c r="J32" i="19" s="1"/>
  <c r="J33" i="19" s="1"/>
  <c r="F31" i="19"/>
  <c r="F32" i="19" s="1"/>
  <c r="G31" i="19"/>
  <c r="G32" i="19" s="1"/>
  <c r="G33" i="19" s="1"/>
  <c r="E23" i="19"/>
  <c r="J29" i="19"/>
  <c r="J99" i="19"/>
  <c r="H131" i="19"/>
  <c r="H133" i="19"/>
  <c r="C31" i="19"/>
  <c r="C32" i="19" s="1"/>
  <c r="D24" i="19"/>
  <c r="D31" i="19"/>
  <c r="D32" i="19" s="1"/>
  <c r="D33" i="19" s="1"/>
  <c r="D25" i="19"/>
  <c r="D23" i="19"/>
  <c r="Z3" i="19" a="1"/>
  <c r="Z3" i="19" s="1"/>
  <c r="D137" i="19"/>
  <c r="D94" i="19"/>
  <c r="E27" i="19"/>
  <c r="E24" i="19"/>
  <c r="I90" i="19"/>
  <c r="I92" i="19" s="1"/>
  <c r="H25" i="19"/>
  <c r="H23" i="19"/>
  <c r="H31" i="19"/>
  <c r="H32" i="19" s="1"/>
  <c r="H33" i="19" s="1"/>
  <c r="F137" i="19"/>
  <c r="I27" i="19"/>
  <c r="G24" i="19"/>
  <c r="C18" i="19"/>
  <c r="C23" i="19" s="1"/>
  <c r="J137" i="20"/>
  <c r="R21" i="20"/>
  <c r="O21" i="20" s="1"/>
  <c r="C23" i="20"/>
  <c r="H23" i="20"/>
  <c r="H90" i="20" s="1"/>
  <c r="H92" i="20" s="1"/>
  <c r="J25" i="20"/>
  <c r="J99" i="20" s="1"/>
  <c r="K22" i="20"/>
  <c r="L22" i="20" s="1"/>
  <c r="G34" i="20" s="1"/>
  <c r="I131" i="20"/>
  <c r="I25" i="20"/>
  <c r="I99" i="20" s="1"/>
  <c r="H31" i="20"/>
  <c r="H32" i="20" s="1"/>
  <c r="H33" i="20" s="1"/>
  <c r="D139" i="20"/>
  <c r="C101" i="20"/>
  <c r="G23" i="20"/>
  <c r="G90" i="20" s="1"/>
  <c r="G92" i="20" s="1"/>
  <c r="G31" i="20"/>
  <c r="G32" i="20" s="1"/>
  <c r="G33" i="20" s="1"/>
  <c r="I101" i="20"/>
  <c r="D101" i="20"/>
  <c r="I90" i="20"/>
  <c r="G25" i="20"/>
  <c r="G99" i="20" s="1"/>
  <c r="E23" i="20"/>
  <c r="E90" i="20" s="1"/>
  <c r="E92" i="20" s="1"/>
  <c r="H24" i="20"/>
  <c r="H133" i="20" s="1"/>
  <c r="J94" i="20"/>
  <c r="U7" i="20"/>
  <c r="F101" i="20"/>
  <c r="H99" i="20"/>
  <c r="C137" i="20"/>
  <c r="C27" i="20"/>
  <c r="C25" i="20" s="1"/>
  <c r="J96" i="20"/>
  <c r="I96" i="20"/>
  <c r="F96" i="20"/>
  <c r="G96" i="20"/>
  <c r="O85" i="20"/>
  <c r="D133" i="20"/>
  <c r="D99" i="20"/>
  <c r="J90" i="20"/>
  <c r="E96" i="20"/>
  <c r="I31" i="20"/>
  <c r="I32" i="20" s="1"/>
  <c r="I33" i="20" s="1"/>
  <c r="J31" i="20"/>
  <c r="J32" i="20" s="1"/>
  <c r="J33" i="20" s="1"/>
  <c r="C31" i="20"/>
  <c r="C32" i="20" s="1"/>
  <c r="K1" i="20"/>
  <c r="M2" i="20" s="1"/>
  <c r="G24" i="20"/>
  <c r="D94" i="20"/>
  <c r="D137" i="20"/>
  <c r="C24" i="20"/>
  <c r="D31" i="20"/>
  <c r="D32" i="20" s="1"/>
  <c r="D33" i="20" s="1"/>
  <c r="G101" i="20"/>
  <c r="H137" i="20"/>
  <c r="H101" i="20"/>
  <c r="E25" i="20"/>
  <c r="F31" i="20"/>
  <c r="F32" i="20" s="1"/>
  <c r="F33" i="20" s="1"/>
  <c r="J101" i="20"/>
  <c r="E133" i="20"/>
  <c r="M5" i="20"/>
  <c r="F23" i="20"/>
  <c r="E31" i="20"/>
  <c r="E32" i="20" s="1"/>
  <c r="E33" i="20" s="1"/>
  <c r="I101" i="16"/>
  <c r="D101" i="16"/>
  <c r="S6" i="16"/>
  <c r="S7" i="16" s="1"/>
  <c r="S26" i="16"/>
  <c r="K22" i="16"/>
  <c r="L22" i="16" s="1"/>
  <c r="O85" i="16"/>
  <c r="H31" i="16"/>
  <c r="H32" i="16" s="1"/>
  <c r="E24" i="16"/>
  <c r="E133" i="16" s="1"/>
  <c r="J137" i="16"/>
  <c r="F25" i="16"/>
  <c r="F99" i="16" s="1"/>
  <c r="F100" i="16" s="1"/>
  <c r="F101" i="16" s="1"/>
  <c r="I24" i="16"/>
  <c r="I133" i="16" s="1"/>
  <c r="C18" i="16"/>
  <c r="C23" i="16" s="1"/>
  <c r="F137" i="16"/>
  <c r="M5" i="16"/>
  <c r="D137" i="16"/>
  <c r="E31" i="16"/>
  <c r="E32" i="16" s="1"/>
  <c r="F31" i="16"/>
  <c r="F32" i="16" s="1"/>
  <c r="F33" i="16" s="1"/>
  <c r="I31" i="16"/>
  <c r="I32" i="16" s="1"/>
  <c r="I33" i="16" s="1"/>
  <c r="F94" i="16"/>
  <c r="O12" i="16"/>
  <c r="H24" i="16"/>
  <c r="H131" i="16" s="1"/>
  <c r="F23" i="16"/>
  <c r="C137" i="16"/>
  <c r="I23" i="16"/>
  <c r="E137" i="16"/>
  <c r="C31" i="16"/>
  <c r="C32" i="16" s="1"/>
  <c r="C33" i="16" s="1"/>
  <c r="C24" i="16"/>
  <c r="K1" i="16"/>
  <c r="F24" i="16"/>
  <c r="G23" i="16"/>
  <c r="G94" i="16"/>
  <c r="H94" i="16"/>
  <c r="H23" i="16"/>
  <c r="C99" i="16"/>
  <c r="C100" i="16" s="1"/>
  <c r="C101" i="16" s="1"/>
  <c r="I94" i="16"/>
  <c r="G31" i="16"/>
  <c r="J31" i="16"/>
  <c r="J32" i="16" s="1"/>
  <c r="J33" i="16" s="1"/>
  <c r="D24" i="16"/>
  <c r="D102" i="16" s="1"/>
  <c r="I137" i="16"/>
  <c r="O21" i="16"/>
  <c r="D18" i="16"/>
  <c r="H27" i="16"/>
  <c r="J23" i="16"/>
  <c r="E18" i="16"/>
  <c r="H137" i="16"/>
  <c r="E27" i="16"/>
  <c r="J25" i="16"/>
  <c r="J24" i="16"/>
  <c r="F23" i="19" l="1"/>
  <c r="D131" i="20"/>
  <c r="I131" i="19"/>
  <c r="C33" i="19"/>
  <c r="C133" i="19"/>
  <c r="F29" i="19"/>
  <c r="F33" i="19"/>
  <c r="I29" i="20"/>
  <c r="I92" i="20"/>
  <c r="K23" i="20"/>
  <c r="L23" i="20" s="1"/>
  <c r="H81" i="20" s="1"/>
  <c r="K24" i="19"/>
  <c r="G32" i="16"/>
  <c r="G33" i="16" s="1"/>
  <c r="G24" i="16"/>
  <c r="G133" i="16" s="1"/>
  <c r="G137" i="16"/>
  <c r="J133" i="20"/>
  <c r="H29" i="20"/>
  <c r="F133" i="20"/>
  <c r="F131" i="20"/>
  <c r="J34" i="19"/>
  <c r="J35" i="19" s="1"/>
  <c r="C34" i="19"/>
  <c r="G34" i="19"/>
  <c r="G35" i="19" s="1"/>
  <c r="E34" i="19"/>
  <c r="E35" i="19" s="1"/>
  <c r="K54" i="19" a="1"/>
  <c r="K54" i="19" s="1"/>
  <c r="D34" i="19"/>
  <c r="D40" i="19" s="1"/>
  <c r="I34" i="19"/>
  <c r="I35" i="19" s="1"/>
  <c r="H34" i="19"/>
  <c r="H40" i="19" s="1"/>
  <c r="K53" i="19" a="1"/>
  <c r="K53" i="19" s="1"/>
  <c r="F34" i="19"/>
  <c r="S13" i="16"/>
  <c r="K23" i="19"/>
  <c r="L23" i="19" s="1"/>
  <c r="G131" i="19"/>
  <c r="G133" i="19"/>
  <c r="G29" i="19"/>
  <c r="C29" i="19"/>
  <c r="C99" i="19"/>
  <c r="D131" i="19"/>
  <c r="D133" i="19"/>
  <c r="C94" i="19"/>
  <c r="H99" i="19"/>
  <c r="H29" i="19"/>
  <c r="I25" i="19"/>
  <c r="I33" i="19"/>
  <c r="D99" i="19"/>
  <c r="D29" i="19"/>
  <c r="E133" i="19"/>
  <c r="E131" i="19"/>
  <c r="H90" i="19"/>
  <c r="H92" i="19" s="1"/>
  <c r="E33" i="19"/>
  <c r="E25" i="19"/>
  <c r="J92" i="20"/>
  <c r="J29" i="20"/>
  <c r="H131" i="20"/>
  <c r="G40" i="20"/>
  <c r="G35" i="20"/>
  <c r="C131" i="20"/>
  <c r="K24" i="20"/>
  <c r="C133" i="20"/>
  <c r="C99" i="20"/>
  <c r="C29" i="20"/>
  <c r="G133" i="20"/>
  <c r="G131" i="20"/>
  <c r="C33" i="20"/>
  <c r="G29" i="20"/>
  <c r="F90" i="20"/>
  <c r="F92" i="20" s="1"/>
  <c r="F34" i="20"/>
  <c r="C34" i="20"/>
  <c r="K54" i="20" a="1"/>
  <c r="K54" i="20" s="1"/>
  <c r="K53" i="20" a="1"/>
  <c r="K53" i="20" s="1"/>
  <c r="H34" i="20"/>
  <c r="D34" i="20"/>
  <c r="I34" i="20"/>
  <c r="J34" i="20"/>
  <c r="E34" i="20"/>
  <c r="E29" i="20"/>
  <c r="E99" i="20"/>
  <c r="F102" i="16"/>
  <c r="R6" i="16"/>
  <c r="R7" i="16" s="1"/>
  <c r="R26" i="16"/>
  <c r="Q6" i="16"/>
  <c r="Q13" i="16" s="1"/>
  <c r="O13" i="16" s="1"/>
  <c r="Q26" i="16"/>
  <c r="O26" i="16" s="1"/>
  <c r="F29" i="16"/>
  <c r="I131" i="16"/>
  <c r="C34" i="16"/>
  <c r="C35" i="16" s="1"/>
  <c r="F34" i="16"/>
  <c r="F35" i="16" s="1"/>
  <c r="J34" i="16"/>
  <c r="J40" i="16" s="1"/>
  <c r="I34" i="16"/>
  <c r="I35" i="16" s="1"/>
  <c r="I36" i="16" s="1"/>
  <c r="E34" i="16"/>
  <c r="E35" i="16" s="1"/>
  <c r="H34" i="16"/>
  <c r="H35" i="16" s="1"/>
  <c r="E131" i="16"/>
  <c r="D34" i="16"/>
  <c r="D35" i="16" s="1"/>
  <c r="D36" i="16" s="1"/>
  <c r="G34" i="16"/>
  <c r="H133" i="16"/>
  <c r="I29" i="16"/>
  <c r="I102" i="16"/>
  <c r="C94" i="16"/>
  <c r="C131" i="16"/>
  <c r="C133" i="16"/>
  <c r="D29" i="16"/>
  <c r="G102" i="16"/>
  <c r="C102" i="16"/>
  <c r="F133" i="16"/>
  <c r="F131" i="16"/>
  <c r="C29" i="16"/>
  <c r="H33" i="16"/>
  <c r="H25" i="16"/>
  <c r="J131" i="16"/>
  <c r="J133" i="16"/>
  <c r="D131" i="16"/>
  <c r="D133" i="16"/>
  <c r="E25" i="16"/>
  <c r="E33" i="16"/>
  <c r="J29" i="16"/>
  <c r="J99" i="16"/>
  <c r="J100" i="16" s="1"/>
  <c r="J101" i="16" s="1"/>
  <c r="J102" i="16" s="1"/>
  <c r="D94" i="16"/>
  <c r="D23" i="16"/>
  <c r="E23" i="16"/>
  <c r="E94" i="16"/>
  <c r="G40" i="16" l="1"/>
  <c r="G39" i="16" s="1"/>
  <c r="G29" i="16"/>
  <c r="F81" i="20"/>
  <c r="E81" i="20"/>
  <c r="M23" i="20"/>
  <c r="I81" i="20"/>
  <c r="L1" i="20"/>
  <c r="G81" i="20"/>
  <c r="F40" i="19"/>
  <c r="F39" i="19" s="1"/>
  <c r="J40" i="19"/>
  <c r="J39" i="19" s="1"/>
  <c r="J41" i="19" s="1"/>
  <c r="G40" i="19"/>
  <c r="G39" i="19" s="1"/>
  <c r="G41" i="19" s="1"/>
  <c r="K24" i="16"/>
  <c r="G131" i="16"/>
  <c r="J81" i="20"/>
  <c r="D81" i="20"/>
  <c r="C81" i="20"/>
  <c r="E40" i="19"/>
  <c r="E39" i="19" s="1"/>
  <c r="E41" i="19" s="1"/>
  <c r="D35" i="19"/>
  <c r="D36" i="19" s="1"/>
  <c r="D37" i="19" s="1"/>
  <c r="K34" i="19"/>
  <c r="Q7" i="16"/>
  <c r="O7" i="16" s="1"/>
  <c r="F35" i="19"/>
  <c r="F36" i="19" s="1"/>
  <c r="F37" i="19" s="1"/>
  <c r="H35" i="19"/>
  <c r="H36" i="19" s="1"/>
  <c r="H37" i="19" s="1"/>
  <c r="C40" i="19"/>
  <c r="I40" i="19"/>
  <c r="I39" i="19" s="1"/>
  <c r="I41" i="19" s="1"/>
  <c r="C35" i="19"/>
  <c r="C36" i="19" s="1"/>
  <c r="C37" i="19" s="1"/>
  <c r="R13" i="16"/>
  <c r="H39" i="19"/>
  <c r="J36" i="19"/>
  <c r="E99" i="19"/>
  <c r="E29" i="19"/>
  <c r="E36" i="19"/>
  <c r="E37" i="19" s="1"/>
  <c r="D39" i="19"/>
  <c r="I99" i="19"/>
  <c r="I29" i="19"/>
  <c r="G36" i="19"/>
  <c r="I36" i="19"/>
  <c r="J81" i="19"/>
  <c r="L1" i="19"/>
  <c r="D81" i="19"/>
  <c r="I81" i="19"/>
  <c r="G81" i="19"/>
  <c r="M23" i="19"/>
  <c r="F81" i="19"/>
  <c r="C81" i="19"/>
  <c r="H81" i="19"/>
  <c r="E81" i="19"/>
  <c r="D40" i="20"/>
  <c r="D35" i="20"/>
  <c r="E40" i="20"/>
  <c r="E35" i="20"/>
  <c r="J35" i="20"/>
  <c r="J40" i="20"/>
  <c r="C35" i="20"/>
  <c r="K34" i="20"/>
  <c r="C40" i="20"/>
  <c r="F35" i="20"/>
  <c r="F40" i="20"/>
  <c r="I40" i="20"/>
  <c r="I35" i="20"/>
  <c r="G36" i="20"/>
  <c r="H40" i="20"/>
  <c r="H35" i="20"/>
  <c r="G39" i="20"/>
  <c r="G41" i="20" s="1"/>
  <c r="F40" i="16"/>
  <c r="F39" i="16" s="1"/>
  <c r="F41" i="16" s="1"/>
  <c r="C40" i="16"/>
  <c r="C39" i="16" s="1"/>
  <c r="C41" i="16" s="1"/>
  <c r="J35" i="16"/>
  <c r="J36" i="16" s="1"/>
  <c r="J37" i="16" s="1"/>
  <c r="G35" i="16"/>
  <c r="G36" i="16" s="1"/>
  <c r="I40" i="16"/>
  <c r="I39" i="16" s="1"/>
  <c r="I41" i="16" s="1"/>
  <c r="E40" i="16"/>
  <c r="E39" i="16" s="1"/>
  <c r="E41" i="16" s="1"/>
  <c r="D40" i="16"/>
  <c r="D39" i="16" s="1"/>
  <c r="D41" i="16" s="1"/>
  <c r="K34" i="16"/>
  <c r="H40" i="16"/>
  <c r="H39" i="16" s="1"/>
  <c r="H41" i="16" s="1"/>
  <c r="K23" i="16"/>
  <c r="H36" i="16"/>
  <c r="D37" i="16"/>
  <c r="E36" i="16"/>
  <c r="C36" i="16"/>
  <c r="C37" i="16" s="1"/>
  <c r="E29" i="16"/>
  <c r="E99" i="16"/>
  <c r="E100" i="16" s="1"/>
  <c r="E101" i="16" s="1"/>
  <c r="E102" i="16" s="1"/>
  <c r="F36" i="16"/>
  <c r="F37" i="16" s="1"/>
  <c r="H29" i="16"/>
  <c r="H99" i="16"/>
  <c r="H100" i="16" s="1"/>
  <c r="H101" i="16" s="1"/>
  <c r="H102" i="16" s="1"/>
  <c r="I37" i="16"/>
  <c r="J39" i="16"/>
  <c r="L23" i="16" l="1"/>
  <c r="L1" i="16" s="1"/>
  <c r="K81" i="20"/>
  <c r="G42" i="20"/>
  <c r="D41" i="19"/>
  <c r="K40" i="19"/>
  <c r="L40" i="19" s="1"/>
  <c r="H41" i="19"/>
  <c r="C39" i="19"/>
  <c r="C41" i="19" s="1"/>
  <c r="F41" i="19"/>
  <c r="J41" i="16"/>
  <c r="J42" i="19"/>
  <c r="I42" i="19"/>
  <c r="E42" i="19"/>
  <c r="I37" i="19"/>
  <c r="D42" i="19"/>
  <c r="K81" i="19"/>
  <c r="H42" i="19"/>
  <c r="G42" i="19"/>
  <c r="G37" i="19"/>
  <c r="F42" i="19"/>
  <c r="J37" i="19"/>
  <c r="C36" i="20"/>
  <c r="C37" i="20" s="1"/>
  <c r="I39" i="20"/>
  <c r="I41" i="20" s="1"/>
  <c r="E36" i="20"/>
  <c r="I36" i="20"/>
  <c r="I37" i="20" s="1"/>
  <c r="F39" i="20"/>
  <c r="F41" i="20" s="1"/>
  <c r="E39" i="20"/>
  <c r="E41" i="20" s="1"/>
  <c r="G37" i="20"/>
  <c r="J39" i="20"/>
  <c r="J41" i="20" s="1"/>
  <c r="J36" i="20"/>
  <c r="J37" i="20" s="1"/>
  <c r="H36" i="20"/>
  <c r="H37" i="20" s="1"/>
  <c r="F36" i="20"/>
  <c r="F37" i="20" s="1"/>
  <c r="D36" i="20"/>
  <c r="D37" i="20" s="1"/>
  <c r="H39" i="20"/>
  <c r="H41" i="20" s="1"/>
  <c r="C39" i="20"/>
  <c r="K40" i="20"/>
  <c r="L40" i="20" s="1"/>
  <c r="D39" i="20"/>
  <c r="D41" i="20" s="1"/>
  <c r="G41" i="16"/>
  <c r="I42" i="16"/>
  <c r="D42" i="16"/>
  <c r="K40" i="16"/>
  <c r="L40" i="16" s="1"/>
  <c r="E42" i="16"/>
  <c r="E37" i="16"/>
  <c r="H42" i="16"/>
  <c r="G42" i="16"/>
  <c r="J42" i="16"/>
  <c r="N40" i="16"/>
  <c r="N41" i="16"/>
  <c r="H37" i="16"/>
  <c r="F42" i="16"/>
  <c r="G37" i="16"/>
  <c r="C42" i="16"/>
  <c r="E81" i="16" l="1"/>
  <c r="M23" i="16"/>
  <c r="C81" i="16"/>
  <c r="F81" i="16"/>
  <c r="D81" i="16"/>
  <c r="G81" i="16"/>
  <c r="H81" i="16"/>
  <c r="J81" i="16"/>
  <c r="I81" i="16"/>
  <c r="N40" i="19"/>
  <c r="L41" i="19"/>
  <c r="N41" i="19"/>
  <c r="C42" i="19"/>
  <c r="J42" i="20"/>
  <c r="E42" i="20"/>
  <c r="N40" i="20"/>
  <c r="N41" i="20"/>
  <c r="H42" i="20"/>
  <c r="E37" i="20"/>
  <c r="D42" i="20"/>
  <c r="F42" i="20"/>
  <c r="I42" i="20"/>
  <c r="C41" i="20"/>
  <c r="C42" i="20"/>
  <c r="L41" i="20"/>
  <c r="L41" i="16"/>
  <c r="N42" i="16"/>
  <c r="K81" i="16" l="1"/>
  <c r="N42" i="19"/>
  <c r="L42" i="19" s="1"/>
  <c r="I45" i="19" s="1"/>
  <c r="N42" i="20"/>
  <c r="L42" i="20" s="1"/>
  <c r="L42" i="16"/>
  <c r="F45" i="16" s="1"/>
  <c r="F44" i="16" s="1"/>
  <c r="G45" i="19" l="1"/>
  <c r="G44" i="19" s="1"/>
  <c r="C45" i="19"/>
  <c r="C44" i="19" s="1"/>
  <c r="B144" i="19" s="1"/>
  <c r="H45" i="19"/>
  <c r="H44" i="19" s="1"/>
  <c r="J45" i="19"/>
  <c r="J46" i="19" s="1"/>
  <c r="E45" i="19"/>
  <c r="E46" i="19" s="1"/>
  <c r="F45" i="19"/>
  <c r="F44" i="19" s="1"/>
  <c r="D45" i="19"/>
  <c r="D46" i="19" s="1"/>
  <c r="I45" i="20"/>
  <c r="I44" i="20" s="1"/>
  <c r="C45" i="20"/>
  <c r="C46" i="20" s="1"/>
  <c r="F45" i="20"/>
  <c r="F44" i="20" s="1"/>
  <c r="E45" i="20"/>
  <c r="E46" i="20" s="1"/>
  <c r="H45" i="20"/>
  <c r="H46" i="20" s="1"/>
  <c r="G45" i="20"/>
  <c r="G44" i="20" s="1"/>
  <c r="D45" i="20"/>
  <c r="D46" i="20" s="1"/>
  <c r="J45" i="20"/>
  <c r="J46" i="20" s="1"/>
  <c r="I44" i="19"/>
  <c r="I46" i="19"/>
  <c r="F46" i="16"/>
  <c r="F47" i="16" s="1"/>
  <c r="F48" i="16" s="1"/>
  <c r="F50" i="16" s="1"/>
  <c r="D45" i="16"/>
  <c r="D44" i="16" s="1"/>
  <c r="I45" i="16"/>
  <c r="I44" i="16" s="1"/>
  <c r="G45" i="16"/>
  <c r="G44" i="16" s="1"/>
  <c r="C45" i="16"/>
  <c r="C44" i="16" s="1"/>
  <c r="B144" i="16" s="1"/>
  <c r="F144" i="16" s="1"/>
  <c r="H45" i="16"/>
  <c r="H46" i="16" s="1"/>
  <c r="H47" i="16" s="1"/>
  <c r="H48" i="16" s="1"/>
  <c r="H50" i="16" s="1"/>
  <c r="J45" i="16"/>
  <c r="J46" i="16" s="1"/>
  <c r="J47" i="16" s="1"/>
  <c r="J48" i="16" s="1"/>
  <c r="J50" i="16" s="1"/>
  <c r="J91" i="16" s="1"/>
  <c r="E45" i="16"/>
  <c r="G46" i="19" l="1"/>
  <c r="G47" i="19" s="1"/>
  <c r="C44" i="20"/>
  <c r="B144" i="20" s="1"/>
  <c r="E144" i="20" s="1"/>
  <c r="I46" i="20"/>
  <c r="I47" i="20" s="1"/>
  <c r="E44" i="19"/>
  <c r="J44" i="19"/>
  <c r="H46" i="19"/>
  <c r="H47" i="19" s="1"/>
  <c r="H48" i="19" s="1"/>
  <c r="H50" i="19" s="1"/>
  <c r="C46" i="19"/>
  <c r="C47" i="19" s="1"/>
  <c r="F46" i="19"/>
  <c r="F47" i="19" s="1"/>
  <c r="F48" i="19" s="1"/>
  <c r="F50" i="19" s="1"/>
  <c r="F91" i="19" s="1"/>
  <c r="K45" i="19"/>
  <c r="O45" i="19" s="1"/>
  <c r="D44" i="19"/>
  <c r="E44" i="20"/>
  <c r="D44" i="20"/>
  <c r="J44" i="20"/>
  <c r="K45" i="20"/>
  <c r="L45" i="20" s="1"/>
  <c r="G46" i="20"/>
  <c r="G47" i="20" s="1"/>
  <c r="F46" i="20"/>
  <c r="F47" i="20" s="1"/>
  <c r="F48" i="20" s="1"/>
  <c r="F50" i="20" s="1"/>
  <c r="H44" i="20"/>
  <c r="E47" i="19"/>
  <c r="E48" i="19" s="1"/>
  <c r="E50" i="19" s="1"/>
  <c r="I47" i="19"/>
  <c r="D144" i="19"/>
  <c r="F144" i="19"/>
  <c r="E144" i="19"/>
  <c r="C144" i="19"/>
  <c r="D47" i="19"/>
  <c r="D48" i="19" s="1"/>
  <c r="D50" i="19" s="1"/>
  <c r="J47" i="19"/>
  <c r="J48" i="19" s="1"/>
  <c r="J50" i="19" s="1"/>
  <c r="D47" i="20"/>
  <c r="E47" i="20"/>
  <c r="E48" i="20" s="1"/>
  <c r="E50" i="20" s="1"/>
  <c r="E91" i="20" s="1"/>
  <c r="C47" i="20"/>
  <c r="C48" i="20" s="1"/>
  <c r="J47" i="20"/>
  <c r="H47" i="20"/>
  <c r="H48" i="20" s="1"/>
  <c r="H50" i="20" s="1"/>
  <c r="H91" i="20" s="1"/>
  <c r="K45" i="16"/>
  <c r="L45" i="16" s="1"/>
  <c r="I46" i="16"/>
  <c r="I47" i="16" s="1"/>
  <c r="I48" i="16" s="1"/>
  <c r="I50" i="16" s="1"/>
  <c r="I91" i="16" s="1"/>
  <c r="I112" i="16" s="1"/>
  <c r="D46" i="16"/>
  <c r="D47" i="16" s="1"/>
  <c r="D48" i="16" s="1"/>
  <c r="D50" i="16" s="1"/>
  <c r="D91" i="16" s="1"/>
  <c r="D112" i="16" s="1"/>
  <c r="H44" i="16"/>
  <c r="C144" i="16"/>
  <c r="G46" i="16"/>
  <c r="G47" i="16" s="1"/>
  <c r="G48" i="16" s="1"/>
  <c r="G50" i="16" s="1"/>
  <c r="G91" i="16" s="1"/>
  <c r="G96" i="16" s="1"/>
  <c r="C46" i="16"/>
  <c r="C47" i="16" s="1"/>
  <c r="D144" i="16"/>
  <c r="J44" i="16"/>
  <c r="E144" i="16"/>
  <c r="E46" i="16"/>
  <c r="E47" i="16" s="1"/>
  <c r="E48" i="16" s="1"/>
  <c r="E50" i="16" s="1"/>
  <c r="E91" i="16" s="1"/>
  <c r="E112" i="16" s="1"/>
  <c r="E44" i="16"/>
  <c r="J112" i="16"/>
  <c r="J96" i="16"/>
  <c r="F140" i="16"/>
  <c r="F87" i="16"/>
  <c r="F91" i="16"/>
  <c r="H95" i="16"/>
  <c r="J95" i="16"/>
  <c r="H140" i="16"/>
  <c r="H87" i="16"/>
  <c r="F95" i="16"/>
  <c r="J140" i="16"/>
  <c r="J87" i="16"/>
  <c r="H91" i="16"/>
  <c r="L45" i="19" l="1"/>
  <c r="D144" i="20"/>
  <c r="C144" i="20"/>
  <c r="F144" i="20"/>
  <c r="O45" i="20"/>
  <c r="S45" i="16"/>
  <c r="P45" i="16"/>
  <c r="R45" i="16"/>
  <c r="Q45" i="16"/>
  <c r="F112" i="19"/>
  <c r="F96" i="19"/>
  <c r="J140" i="19"/>
  <c r="J87" i="19"/>
  <c r="J91" i="19"/>
  <c r="H140" i="19"/>
  <c r="H87" i="19"/>
  <c r="H91" i="19"/>
  <c r="D140" i="19"/>
  <c r="D87" i="19"/>
  <c r="D91" i="19"/>
  <c r="D95" i="19"/>
  <c r="I48" i="19"/>
  <c r="I50" i="19" s="1"/>
  <c r="H95" i="19"/>
  <c r="E140" i="19"/>
  <c r="E87" i="19"/>
  <c r="C48" i="19"/>
  <c r="E95" i="19"/>
  <c r="F140" i="19"/>
  <c r="F87" i="19"/>
  <c r="F95" i="19"/>
  <c r="J95" i="19"/>
  <c r="G48" i="19"/>
  <c r="G50" i="19" s="1"/>
  <c r="E91" i="19"/>
  <c r="F140" i="20"/>
  <c r="F87" i="20"/>
  <c r="F91" i="20"/>
  <c r="D48" i="20"/>
  <c r="D50" i="20" s="1"/>
  <c r="D95" i="20" s="1"/>
  <c r="J48" i="20"/>
  <c r="J50" i="20" s="1"/>
  <c r="I48" i="20"/>
  <c r="I50" i="20" s="1"/>
  <c r="I95" i="20" s="1"/>
  <c r="F95" i="20"/>
  <c r="H95" i="20"/>
  <c r="H140" i="20"/>
  <c r="H87" i="20"/>
  <c r="E140" i="20"/>
  <c r="E87" i="20"/>
  <c r="G48" i="20"/>
  <c r="G50" i="20" s="1"/>
  <c r="G95" i="20" s="1"/>
  <c r="E95" i="20"/>
  <c r="C50" i="20"/>
  <c r="C95" i="20" s="1"/>
  <c r="D96" i="16"/>
  <c r="D140" i="16"/>
  <c r="D87" i="16"/>
  <c r="D109" i="16" s="1"/>
  <c r="C48" i="16"/>
  <c r="C50" i="16" s="1"/>
  <c r="I87" i="16"/>
  <c r="I121" i="16" s="1"/>
  <c r="I95" i="16"/>
  <c r="I140" i="16"/>
  <c r="O45" i="16"/>
  <c r="I96" i="16"/>
  <c r="D95" i="16"/>
  <c r="G87" i="16"/>
  <c r="G121" i="16" s="1"/>
  <c r="G112" i="16"/>
  <c r="G140" i="16"/>
  <c r="G95" i="16"/>
  <c r="E140" i="16"/>
  <c r="E96" i="16"/>
  <c r="E95" i="16"/>
  <c r="E87" i="16"/>
  <c r="E109" i="16" s="1"/>
  <c r="F112" i="16"/>
  <c r="F96" i="16"/>
  <c r="H112" i="16"/>
  <c r="H96" i="16"/>
  <c r="H109" i="16"/>
  <c r="H121" i="16"/>
  <c r="F109" i="16"/>
  <c r="F121" i="16"/>
  <c r="J121" i="16"/>
  <c r="J109" i="16"/>
  <c r="E112" i="19" l="1"/>
  <c r="E96" i="19"/>
  <c r="D112" i="19"/>
  <c r="D96" i="19"/>
  <c r="G140" i="19"/>
  <c r="G87" i="19"/>
  <c r="G91" i="19"/>
  <c r="H121" i="19"/>
  <c r="H109" i="19"/>
  <c r="E109" i="19"/>
  <c r="E121" i="19"/>
  <c r="I140" i="19"/>
  <c r="I87" i="19"/>
  <c r="I91" i="19"/>
  <c r="G95" i="19"/>
  <c r="J121" i="19"/>
  <c r="J109" i="19"/>
  <c r="D121" i="19"/>
  <c r="D109" i="19"/>
  <c r="F109" i="19"/>
  <c r="F121" i="19"/>
  <c r="C50" i="19"/>
  <c r="N45" i="19"/>
  <c r="I95" i="19"/>
  <c r="J140" i="20"/>
  <c r="J87" i="20"/>
  <c r="J91" i="20"/>
  <c r="J95" i="20"/>
  <c r="D140" i="20"/>
  <c r="D87" i="20"/>
  <c r="D91" i="20"/>
  <c r="C140" i="20"/>
  <c r="N91" i="20"/>
  <c r="AA133" i="20"/>
  <c r="AA140" i="20" s="1"/>
  <c r="L140" i="20" s="1"/>
  <c r="C87" i="20"/>
  <c r="C91" i="20"/>
  <c r="E109" i="20"/>
  <c r="E121" i="20"/>
  <c r="N45" i="20"/>
  <c r="F121" i="20"/>
  <c r="F109" i="20"/>
  <c r="H109" i="20"/>
  <c r="H121" i="20"/>
  <c r="G140" i="20"/>
  <c r="G87" i="20"/>
  <c r="G91" i="20"/>
  <c r="I140" i="20"/>
  <c r="I87" i="20"/>
  <c r="I91" i="20"/>
  <c r="D121" i="16"/>
  <c r="D80" i="16" s="1"/>
  <c r="D82" i="16" s="1"/>
  <c r="N45" i="16"/>
  <c r="I109" i="16"/>
  <c r="G109" i="16"/>
  <c r="E121" i="16"/>
  <c r="E80" i="16" s="1"/>
  <c r="E82" i="16" s="1"/>
  <c r="Y133" i="16"/>
  <c r="Y140" i="16" s="1"/>
  <c r="L140" i="16" s="1"/>
  <c r="C140" i="16"/>
  <c r="N91" i="16"/>
  <c r="C87" i="16"/>
  <c r="C91" i="16"/>
  <c r="C96" i="16" s="1"/>
  <c r="C95" i="16"/>
  <c r="J80" i="16"/>
  <c r="J82" i="16" s="1"/>
  <c r="G80" i="16"/>
  <c r="G82" i="16" s="1"/>
  <c r="I80" i="16"/>
  <c r="I82" i="16" s="1"/>
  <c r="H80" i="16"/>
  <c r="H82" i="16" s="1"/>
  <c r="F80" i="16"/>
  <c r="F82" i="16" s="1"/>
  <c r="H120" i="19" l="1"/>
  <c r="H80" i="19"/>
  <c r="H82" i="19" s="1"/>
  <c r="I121" i="19"/>
  <c r="I109" i="19"/>
  <c r="E80" i="19"/>
  <c r="E82" i="19" s="1"/>
  <c r="F80" i="19"/>
  <c r="F82" i="19" s="1"/>
  <c r="G121" i="19"/>
  <c r="G109" i="19"/>
  <c r="N91" i="19"/>
  <c r="C140" i="19"/>
  <c r="AE133" i="19"/>
  <c r="AE140" i="19" s="1"/>
  <c r="L140" i="19" s="1"/>
  <c r="C87" i="19"/>
  <c r="N87" i="19" s="1"/>
  <c r="C91" i="19"/>
  <c r="C96" i="19" s="1"/>
  <c r="C95" i="19"/>
  <c r="J80" i="19"/>
  <c r="J82" i="19" s="1"/>
  <c r="J120" i="19"/>
  <c r="D80" i="19"/>
  <c r="D82" i="19" s="1"/>
  <c r="D112" i="20"/>
  <c r="D96" i="20"/>
  <c r="E80" i="20"/>
  <c r="E82" i="20" s="1"/>
  <c r="E120" i="20"/>
  <c r="H80" i="20"/>
  <c r="H82" i="20" s="1"/>
  <c r="H120" i="20"/>
  <c r="K91" i="20"/>
  <c r="C112" i="20"/>
  <c r="C96" i="20"/>
  <c r="I121" i="20"/>
  <c r="I109" i="20"/>
  <c r="C109" i="20"/>
  <c r="K87" i="20"/>
  <c r="C121" i="20"/>
  <c r="D109" i="20"/>
  <c r="D121" i="20"/>
  <c r="F120" i="20"/>
  <c r="F80" i="20"/>
  <c r="F82" i="20" s="1"/>
  <c r="J121" i="20"/>
  <c r="J109" i="20"/>
  <c r="G121" i="20"/>
  <c r="G109" i="20"/>
  <c r="N87" i="20"/>
  <c r="C109" i="16"/>
  <c r="K109" i="16" s="1"/>
  <c r="K87" i="16"/>
  <c r="C121" i="16"/>
  <c r="C112" i="16"/>
  <c r="K91" i="16"/>
  <c r="N87" i="16"/>
  <c r="N95" i="19" l="1"/>
  <c r="C112" i="19"/>
  <c r="K91" i="19"/>
  <c r="G120" i="19"/>
  <c r="G80" i="19"/>
  <c r="G82" i="19" s="1"/>
  <c r="C109" i="19"/>
  <c r="K109" i="19" s="1"/>
  <c r="K87" i="19"/>
  <c r="C121" i="19"/>
  <c r="I80" i="19"/>
  <c r="I82" i="19" s="1"/>
  <c r="I120" i="19"/>
  <c r="K109" i="20"/>
  <c r="L109" i="20" s="1"/>
  <c r="C80" i="20"/>
  <c r="K121" i="20"/>
  <c r="M123" i="20" s="1"/>
  <c r="J80" i="20"/>
  <c r="J82" i="20" s="1"/>
  <c r="J120" i="20"/>
  <c r="L87" i="20"/>
  <c r="L91" i="20"/>
  <c r="G120" i="20"/>
  <c r="G80" i="20"/>
  <c r="G82" i="20" s="1"/>
  <c r="D80" i="20"/>
  <c r="D82" i="20" s="1"/>
  <c r="I120" i="20"/>
  <c r="I80" i="20"/>
  <c r="I82" i="20" s="1"/>
  <c r="N95" i="20"/>
  <c r="C80" i="16"/>
  <c r="K121" i="16"/>
  <c r="M123" i="16" s="1"/>
  <c r="L109" i="16"/>
  <c r="L87" i="16"/>
  <c r="L91" i="16"/>
  <c r="N95" i="16"/>
  <c r="C80" i="19" l="1"/>
  <c r="K121" i="19"/>
  <c r="M123" i="19" s="1"/>
  <c r="L109" i="19"/>
  <c r="L87" i="19"/>
  <c r="L91" i="19"/>
  <c r="L95" i="19" s="1"/>
  <c r="L95" i="20"/>
  <c r="K80" i="20"/>
  <c r="C82" i="20"/>
  <c r="K82" i="20" s="1"/>
  <c r="L82" i="20" s="1"/>
  <c r="L95" i="16"/>
  <c r="K80" i="16"/>
  <c r="C82" i="16"/>
  <c r="K82" i="16" s="1"/>
  <c r="L82" i="16" s="1"/>
  <c r="C82" i="19" l="1"/>
  <c r="K82" i="19" s="1"/>
  <c r="L82" i="19" s="1"/>
  <c r="K80" i="19"/>
  <c r="H83" i="20"/>
  <c r="H84" i="20" s="1"/>
  <c r="G83" i="20"/>
  <c r="G84" i="20" s="1"/>
  <c r="D83" i="20"/>
  <c r="D84" i="20" s="1"/>
  <c r="C83" i="20"/>
  <c r="E83" i="20"/>
  <c r="E84" i="20" s="1"/>
  <c r="I83" i="20"/>
  <c r="I84" i="20" s="1"/>
  <c r="F83" i="20"/>
  <c r="F84" i="20" s="1"/>
  <c r="J83" i="20"/>
  <c r="J84" i="20" s="1"/>
  <c r="I83" i="16"/>
  <c r="I84" i="16" s="1"/>
  <c r="H83" i="16"/>
  <c r="H84" i="16" s="1"/>
  <c r="C83" i="16"/>
  <c r="G83" i="16"/>
  <c r="G84" i="16" s="1"/>
  <c r="J83" i="16"/>
  <c r="J84" i="16" s="1"/>
  <c r="D83" i="16"/>
  <c r="D84" i="16" s="1"/>
  <c r="F83" i="16"/>
  <c r="F84" i="16" s="1"/>
  <c r="E83" i="16"/>
  <c r="E84" i="16" s="1"/>
  <c r="D83" i="19" l="1"/>
  <c r="D84" i="19" s="1"/>
  <c r="C83" i="19"/>
  <c r="F83" i="19"/>
  <c r="F84" i="19" s="1"/>
  <c r="J83" i="19"/>
  <c r="J84" i="19" s="1"/>
  <c r="I83" i="19"/>
  <c r="I84" i="19" s="1"/>
  <c r="H83" i="19"/>
  <c r="H84" i="19" s="1"/>
  <c r="E83" i="19"/>
  <c r="E84" i="19" s="1"/>
  <c r="G83" i="19"/>
  <c r="G84" i="19" s="1"/>
  <c r="C84" i="20"/>
  <c r="K83" i="20"/>
  <c r="C84" i="16"/>
  <c r="K83" i="16"/>
  <c r="C84" i="19" l="1"/>
  <c r="K83" i="19"/>
  <c r="O84" i="20"/>
  <c r="N83" i="20"/>
  <c r="N84" i="20" s="1"/>
  <c r="N83" i="16"/>
  <c r="N84" i="16" s="1"/>
  <c r="O84" i="16"/>
  <c r="O84" i="19" l="1"/>
  <c r="N83" i="19"/>
  <c r="N84" i="19" s="1"/>
  <c r="L84" i="20"/>
  <c r="L84" i="16"/>
  <c r="D88" i="20" l="1"/>
  <c r="E88" i="20"/>
  <c r="J88" i="20"/>
  <c r="H88" i="20"/>
  <c r="G88" i="20"/>
  <c r="I88" i="20"/>
  <c r="F88" i="20"/>
  <c r="C88" i="20"/>
  <c r="L84" i="19"/>
  <c r="C88" i="19" s="1"/>
  <c r="C114" i="19" s="1"/>
  <c r="J88" i="16"/>
  <c r="E88" i="16"/>
  <c r="D88" i="16"/>
  <c r="F88" i="16"/>
  <c r="G88" i="16"/>
  <c r="H88" i="16"/>
  <c r="I88" i="16"/>
  <c r="C88" i="16"/>
  <c r="C105" i="20" l="1"/>
  <c r="C106" i="20" s="1"/>
  <c r="C110" i="20"/>
  <c r="C104" i="20"/>
  <c r="K88" i="20"/>
  <c r="L88" i="20" s="1"/>
  <c r="C114" i="20"/>
  <c r="C89" i="20"/>
  <c r="I110" i="20"/>
  <c r="I105" i="20"/>
  <c r="I106" i="20" s="1"/>
  <c r="I89" i="20"/>
  <c r="I104" i="20"/>
  <c r="G105" i="20"/>
  <c r="G106" i="20" s="1"/>
  <c r="G104" i="20"/>
  <c r="G89" i="20"/>
  <c r="G110" i="20"/>
  <c r="E89" i="20"/>
  <c r="E110" i="20"/>
  <c r="E104" i="20"/>
  <c r="E105" i="20"/>
  <c r="E106" i="20" s="1"/>
  <c r="F104" i="20"/>
  <c r="F89" i="20"/>
  <c r="F105" i="20"/>
  <c r="F106" i="20" s="1"/>
  <c r="F110" i="20"/>
  <c r="H110" i="20"/>
  <c r="H89" i="20"/>
  <c r="H104" i="20"/>
  <c r="H105" i="20"/>
  <c r="H106" i="20" s="1"/>
  <c r="J110" i="20"/>
  <c r="J104" i="20"/>
  <c r="J89" i="20"/>
  <c r="J105" i="20"/>
  <c r="J106" i="20" s="1"/>
  <c r="D110" i="20"/>
  <c r="D113" i="20" s="1"/>
  <c r="D104" i="20"/>
  <c r="D89" i="20"/>
  <c r="D114" i="20"/>
  <c r="D105" i="20"/>
  <c r="D106" i="20" s="1"/>
  <c r="H88" i="19"/>
  <c r="H105" i="19" s="1"/>
  <c r="H106" i="19" s="1"/>
  <c r="G88" i="19"/>
  <c r="G89" i="19" s="1"/>
  <c r="C110" i="19"/>
  <c r="C113" i="19" s="1"/>
  <c r="E88" i="19"/>
  <c r="E110" i="19" s="1"/>
  <c r="E113" i="19" s="1"/>
  <c r="C105" i="19"/>
  <c r="C106" i="19" s="1"/>
  <c r="J88" i="19"/>
  <c r="J110" i="19" s="1"/>
  <c r="D88" i="19"/>
  <c r="D89" i="19" s="1"/>
  <c r="F88" i="19"/>
  <c r="F104" i="19" s="1"/>
  <c r="C89" i="19"/>
  <c r="C104" i="19"/>
  <c r="I88" i="19"/>
  <c r="I110" i="19" s="1"/>
  <c r="H105" i="16"/>
  <c r="H106" i="16" s="1"/>
  <c r="H110" i="16"/>
  <c r="H113" i="16" s="1"/>
  <c r="H89" i="16"/>
  <c r="H104" i="16"/>
  <c r="H114" i="16"/>
  <c r="I104" i="16"/>
  <c r="I89" i="16"/>
  <c r="I110" i="16"/>
  <c r="I113" i="16" s="1"/>
  <c r="I114" i="16"/>
  <c r="I105" i="16"/>
  <c r="I106" i="16" s="1"/>
  <c r="C114" i="16"/>
  <c r="C104" i="16"/>
  <c r="K88" i="16"/>
  <c r="L88" i="16" s="1"/>
  <c r="C110" i="16"/>
  <c r="C89" i="16"/>
  <c r="C105" i="16"/>
  <c r="C106" i="16" s="1"/>
  <c r="G89" i="16"/>
  <c r="G104" i="16"/>
  <c r="G114" i="16"/>
  <c r="G110" i="16"/>
  <c r="G113" i="16" s="1"/>
  <c r="G105" i="16"/>
  <c r="G106" i="16" s="1"/>
  <c r="F89" i="16"/>
  <c r="F104" i="16"/>
  <c r="F110" i="16"/>
  <c r="F113" i="16" s="1"/>
  <c r="F105" i="16"/>
  <c r="F106" i="16" s="1"/>
  <c r="F114" i="16"/>
  <c r="D89" i="16"/>
  <c r="D110" i="16"/>
  <c r="D113" i="16" s="1"/>
  <c r="D114" i="16"/>
  <c r="D105" i="16"/>
  <c r="D106" i="16" s="1"/>
  <c r="D104" i="16"/>
  <c r="E89" i="16"/>
  <c r="E114" i="16"/>
  <c r="E104" i="16"/>
  <c r="E105" i="16"/>
  <c r="E106" i="16" s="1"/>
  <c r="E110" i="16"/>
  <c r="E113" i="16" s="1"/>
  <c r="J105" i="16"/>
  <c r="J106" i="16" s="1"/>
  <c r="J89" i="16"/>
  <c r="J110" i="16"/>
  <c r="J113" i="16" s="1"/>
  <c r="J114" i="16"/>
  <c r="J104" i="16"/>
  <c r="K114" i="20" l="1"/>
  <c r="K115" i="20" s="1"/>
  <c r="L104" i="20"/>
  <c r="C113" i="20"/>
  <c r="K113" i="20" s="1"/>
  <c r="L113" i="20" s="1"/>
  <c r="K110" i="20"/>
  <c r="N111" i="20" s="1"/>
  <c r="G105" i="19"/>
  <c r="G106" i="19" s="1"/>
  <c r="G104" i="19"/>
  <c r="G110" i="19"/>
  <c r="E89" i="19"/>
  <c r="I105" i="19"/>
  <c r="I106" i="19" s="1"/>
  <c r="H110" i="19"/>
  <c r="H104" i="19"/>
  <c r="H89" i="19"/>
  <c r="D110" i="19"/>
  <c r="D113" i="19" s="1"/>
  <c r="D105" i="19"/>
  <c r="D106" i="19" s="1"/>
  <c r="I89" i="19"/>
  <c r="E104" i="19"/>
  <c r="I104" i="19"/>
  <c r="J104" i="19"/>
  <c r="E105" i="19"/>
  <c r="E106" i="19" s="1"/>
  <c r="F89" i="19"/>
  <c r="J105" i="19"/>
  <c r="J106" i="19" s="1"/>
  <c r="J89" i="19"/>
  <c r="F110" i="19"/>
  <c r="F113" i="19" s="1"/>
  <c r="F114" i="19"/>
  <c r="F105" i="19"/>
  <c r="F106" i="19" s="1"/>
  <c r="D114" i="19"/>
  <c r="K88" i="19"/>
  <c r="L88" i="19" s="1"/>
  <c r="D104" i="19"/>
  <c r="E114" i="19"/>
  <c r="K114" i="16"/>
  <c r="K111" i="16" s="1"/>
  <c r="K110" i="16"/>
  <c r="N111" i="16" s="1"/>
  <c r="C113" i="16"/>
  <c r="K113" i="16" s="1"/>
  <c r="L113" i="16" s="1"/>
  <c r="L104" i="16"/>
  <c r="K112" i="20" l="1"/>
  <c r="K116" i="20"/>
  <c r="K111" i="20"/>
  <c r="L114" i="20"/>
  <c r="K113" i="19"/>
  <c r="L113" i="19" s="1"/>
  <c r="L104" i="19"/>
  <c r="K114" i="19"/>
  <c r="K115" i="19" s="1"/>
  <c r="K110" i="19"/>
  <c r="N111" i="19" s="1"/>
  <c r="K115" i="16"/>
  <c r="K116" i="16"/>
  <c r="L114" i="16"/>
  <c r="K112" i="16"/>
  <c r="L116" i="20" l="1"/>
  <c r="K127" i="20"/>
  <c r="K117" i="20"/>
  <c r="L2" i="20"/>
  <c r="K4" i="20"/>
  <c r="K116" i="19"/>
  <c r="L116" i="19" s="1"/>
  <c r="L114" i="19"/>
  <c r="K112" i="19"/>
  <c r="K111" i="19"/>
  <c r="K127" i="16"/>
  <c r="L2" i="16"/>
  <c r="K117" i="16"/>
  <c r="K4" i="16"/>
  <c r="L116" i="16"/>
  <c r="K5" i="20" l="1"/>
  <c r="M3" i="20"/>
  <c r="M4" i="20"/>
  <c r="K3" i="20"/>
  <c r="J117" i="20"/>
  <c r="J119" i="20" s="1"/>
  <c r="J118" i="20" s="1"/>
  <c r="H117" i="20"/>
  <c r="H119" i="20" s="1"/>
  <c r="H118" i="20" s="1"/>
  <c r="G117" i="20"/>
  <c r="G119" i="20" s="1"/>
  <c r="G118" i="20" s="1"/>
  <c r="I117" i="20"/>
  <c r="I119" i="20" s="1"/>
  <c r="I118" i="20" s="1"/>
  <c r="D117" i="20"/>
  <c r="D119" i="20" s="1"/>
  <c r="K128" i="20"/>
  <c r="E117" i="20"/>
  <c r="F117" i="20"/>
  <c r="F119" i="20" s="1"/>
  <c r="F118" i="20" s="1"/>
  <c r="C117" i="20"/>
  <c r="C119" i="20" s="1"/>
  <c r="L2" i="19"/>
  <c r="K5" i="19" s="1"/>
  <c r="K117" i="19"/>
  <c r="I117" i="19" s="1"/>
  <c r="I119" i="19" s="1"/>
  <c r="I118" i="19" s="1"/>
  <c r="K127" i="19"/>
  <c r="K4" i="19"/>
  <c r="E117" i="16"/>
  <c r="D117" i="16"/>
  <c r="D119" i="16" s="1"/>
  <c r="I117" i="16"/>
  <c r="I119" i="16" s="1"/>
  <c r="J117" i="16"/>
  <c r="J119" i="16" s="1"/>
  <c r="F117" i="16"/>
  <c r="F119" i="16" s="1"/>
  <c r="H117" i="16"/>
  <c r="H119" i="16" s="1"/>
  <c r="C117" i="16"/>
  <c r="C119" i="16" s="1"/>
  <c r="K128" i="16"/>
  <c r="G117" i="16"/>
  <c r="G119" i="16" s="1"/>
  <c r="M3" i="16"/>
  <c r="K5" i="16"/>
  <c r="K3" i="16"/>
  <c r="C122" i="20" l="1"/>
  <c r="C118" i="20"/>
  <c r="L92" i="20"/>
  <c r="E119" i="20"/>
  <c r="E118" i="20" s="1"/>
  <c r="L93" i="20" s="1"/>
  <c r="K119" i="20"/>
  <c r="K122" i="20" s="1"/>
  <c r="L4" i="20" s="1"/>
  <c r="M1" i="20" s="1"/>
  <c r="F10" i="20" s="1"/>
  <c r="D122" i="20"/>
  <c r="D118" i="20"/>
  <c r="F117" i="19"/>
  <c r="F119" i="19" s="1"/>
  <c r="F118" i="19" s="1"/>
  <c r="D117" i="19"/>
  <c r="D119" i="19" s="1"/>
  <c r="D118" i="19" s="1"/>
  <c r="K3" i="19"/>
  <c r="M3" i="19"/>
  <c r="G117" i="19"/>
  <c r="G119" i="19" s="1"/>
  <c r="G118" i="19" s="1"/>
  <c r="K128" i="19"/>
  <c r="C117" i="19"/>
  <c r="C119" i="19" s="1"/>
  <c r="C122" i="19" s="1"/>
  <c r="C90" i="19" s="1"/>
  <c r="E117" i="19"/>
  <c r="L92" i="19" s="1"/>
  <c r="H117" i="19"/>
  <c r="H119" i="19" s="1"/>
  <c r="H118" i="19" s="1"/>
  <c r="J117" i="19"/>
  <c r="J119" i="19" s="1"/>
  <c r="J118" i="19" s="1"/>
  <c r="H122" i="16"/>
  <c r="H118" i="16"/>
  <c r="F122" i="16"/>
  <c r="F118" i="16"/>
  <c r="J122" i="16"/>
  <c r="J118" i="16"/>
  <c r="C122" i="16"/>
  <c r="C118" i="16"/>
  <c r="I122" i="16"/>
  <c r="I118" i="16"/>
  <c r="D118" i="16"/>
  <c r="D122" i="16"/>
  <c r="G122" i="16"/>
  <c r="G118" i="16"/>
  <c r="L92" i="16"/>
  <c r="E119" i="16"/>
  <c r="C123" i="19" l="1"/>
  <c r="D123" i="20"/>
  <c r="D90" i="20"/>
  <c r="D92" i="20" s="1"/>
  <c r="D120" i="20"/>
  <c r="K124" i="20"/>
  <c r="K125" i="20" s="1"/>
  <c r="K118" i="20"/>
  <c r="C90" i="20"/>
  <c r="C120" i="20"/>
  <c r="C123" i="20"/>
  <c r="D122" i="19"/>
  <c r="D90" i="19" s="1"/>
  <c r="D92" i="19" s="1"/>
  <c r="F122" i="19"/>
  <c r="F90" i="19" s="1"/>
  <c r="F92" i="19" s="1"/>
  <c r="C118" i="19"/>
  <c r="E119" i="19"/>
  <c r="K119" i="19" s="1"/>
  <c r="K122" i="19" s="1"/>
  <c r="L4" i="19" s="1"/>
  <c r="M1" i="19" s="1"/>
  <c r="C120" i="19"/>
  <c r="C92" i="19"/>
  <c r="G120" i="16"/>
  <c r="G90" i="16"/>
  <c r="G92" i="16" s="1"/>
  <c r="G123" i="16"/>
  <c r="F90" i="16"/>
  <c r="F92" i="16" s="1"/>
  <c r="F120" i="16"/>
  <c r="F123" i="16"/>
  <c r="C90" i="16"/>
  <c r="C92" i="16" s="1"/>
  <c r="C120" i="16"/>
  <c r="C123" i="16"/>
  <c r="J90" i="16"/>
  <c r="J92" i="16" s="1"/>
  <c r="J123" i="16"/>
  <c r="J120" i="16"/>
  <c r="I123" i="16"/>
  <c r="I120" i="16"/>
  <c r="I90" i="16"/>
  <c r="I92" i="16" s="1"/>
  <c r="H120" i="16"/>
  <c r="H90" i="16"/>
  <c r="H92" i="16" s="1"/>
  <c r="H123" i="16"/>
  <c r="D120" i="16"/>
  <c r="D123" i="16"/>
  <c r="D90" i="16"/>
  <c r="D92" i="16" s="1"/>
  <c r="E122" i="16"/>
  <c r="E118" i="16"/>
  <c r="K119" i="16"/>
  <c r="E122" i="19" l="1"/>
  <c r="E90" i="19" s="1"/>
  <c r="E92" i="19" s="1"/>
  <c r="K120" i="20"/>
  <c r="E118" i="19"/>
  <c r="L93" i="19" s="1"/>
  <c r="L123" i="20"/>
  <c r="K90" i="20"/>
  <c r="L90" i="20" s="1"/>
  <c r="C92" i="20"/>
  <c r="K124" i="19"/>
  <c r="K125" i="19" s="1"/>
  <c r="D120" i="19"/>
  <c r="D123" i="19"/>
  <c r="F120" i="19"/>
  <c r="F123" i="19"/>
  <c r="M2" i="19"/>
  <c r="M4" i="19"/>
  <c r="K122" i="16"/>
  <c r="L4" i="16" s="1"/>
  <c r="K124" i="16"/>
  <c r="K125" i="16" s="1"/>
  <c r="L93" i="16"/>
  <c r="K118" i="16"/>
  <c r="E90" i="16"/>
  <c r="E92" i="16" s="1"/>
  <c r="E123" i="16"/>
  <c r="L123" i="16" s="1"/>
  <c r="E120" i="16"/>
  <c r="K120" i="16" s="1"/>
  <c r="K90" i="19" l="1"/>
  <c r="L90" i="19" s="1"/>
  <c r="E120" i="19"/>
  <c r="K120" i="19" s="1"/>
  <c r="E123" i="19"/>
  <c r="L123" i="19" s="1"/>
  <c r="K118" i="19"/>
  <c r="M10" i="19"/>
  <c r="M1" i="16"/>
  <c r="M4" i="16"/>
  <c r="M2" i="16"/>
  <c r="K90" i="16"/>
  <c r="L90" i="16" s="1"/>
  <c r="M10"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tc={950FD59D-600A-4083-95D9-B63F07296BF8}</author>
    <author>tc={A881B718-507E-417D-BC7D-730A6C140DE7}</author>
    <author>tc={EE644149-9F9F-4B1B-A427-AEC97F02021A}</author>
    <author>tc={92EA521D-1E71-4914-A939-AAB491FBF80D}</author>
    <author>Klas Dalbjörn</author>
  </authors>
  <commentList>
    <comment ref="M2" authorId="0" shapeId="0" xr:uid="{00000000-0006-0000-01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1</t>
      </text>
    </comment>
    <comment ref="M3" authorId="1" shapeId="0" xr:uid="{00000000-0006-0000-01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2</t>
      </text>
    </comment>
    <comment ref="M4" authorId="2" shapeId="0" xr:uid="{00000000-0006-0000-0100-000003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3</t>
      </text>
    </comment>
    <comment ref="M5" authorId="3" shapeId="0" xr:uid="{00000000-0006-0000-0100-000004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4</t>
      </text>
    </comment>
    <comment ref="N7" authorId="4" shapeId="0" xr:uid="{00000000-0006-0000-0100-000005000000}">
      <text>
        <r>
          <rPr>
            <b/>
            <sz val="9"/>
            <color indexed="81"/>
            <rFont val="Calibri"/>
            <family val="2"/>
            <charset val="134"/>
          </rPr>
          <t>Klas Dalbjörn:</t>
        </r>
        <r>
          <rPr>
            <sz val="9"/>
            <color indexed="81"/>
            <rFont val="Calibri"/>
            <family val="2"/>
            <charset val="134"/>
          </rPr>
          <t xml:space="preserve">
I suggest that this is a power level that we know that  we can sustain forever in 25 C with a 4 ohm load</t>
        </r>
      </text>
    </comment>
    <comment ref="B91" authorId="4" shapeId="0" xr:uid="{00000000-0006-0000-0100-000006000000}">
      <text>
        <r>
          <rPr>
            <b/>
            <sz val="9"/>
            <color indexed="81"/>
            <rFont val="Calibri"/>
            <family val="2"/>
            <charset val="134"/>
          </rPr>
          <t>Klas Dalbjörn:</t>
        </r>
        <r>
          <rPr>
            <sz val="9"/>
            <color indexed="81"/>
            <rFont val="Calibri"/>
            <family val="2"/>
            <charset val="134"/>
          </rPr>
          <t xml:space="preserve">
Used as limiter setting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tc={6D406A92-9E9F-4CD5-924C-EADB89491EC7}</author>
    <author>tc={53C60DDC-6F20-4EF3-A616-63F25BD5C0DB}</author>
    <author>tc={C7B30F57-6D47-46BE-979E-2490B3B5B160}</author>
    <author>tc={7B6A77D8-B873-4F4F-B903-638FC92ECD7F}</author>
    <author>Klas Dalbjörn</author>
  </authors>
  <commentList>
    <comment ref="M2" authorId="0" shapeId="0" xr:uid="{00000000-0006-0000-02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1</t>
      </text>
    </comment>
    <comment ref="M3" authorId="1" shapeId="0" xr:uid="{00000000-0006-0000-02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2</t>
      </text>
    </comment>
    <comment ref="M4" authorId="2" shapeId="0" xr:uid="{00000000-0006-0000-0200-000003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3</t>
      </text>
    </comment>
    <comment ref="M5" authorId="3" shapeId="0" xr:uid="{00000000-0006-0000-0200-000004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4</t>
      </text>
    </comment>
    <comment ref="N7" authorId="4" shapeId="0" xr:uid="{00000000-0006-0000-0200-000005000000}">
      <text>
        <r>
          <rPr>
            <b/>
            <sz val="9"/>
            <color indexed="81"/>
            <rFont val="Calibri"/>
            <family val="2"/>
            <charset val="134"/>
          </rPr>
          <t>Klas Dalbjörn:</t>
        </r>
        <r>
          <rPr>
            <sz val="9"/>
            <color indexed="81"/>
            <rFont val="Calibri"/>
            <family val="2"/>
            <charset val="134"/>
          </rPr>
          <t xml:space="preserve">
I suggest that this is a power level that we know that  we can sustain forever in 25 C with a 4 ohm load</t>
        </r>
      </text>
    </comment>
    <comment ref="B91" authorId="4" shapeId="0" xr:uid="{00000000-0006-0000-0200-000006000000}">
      <text>
        <r>
          <rPr>
            <b/>
            <sz val="9"/>
            <color indexed="81"/>
            <rFont val="Calibri"/>
            <family val="2"/>
            <charset val="134"/>
          </rPr>
          <t>Klas Dalbjörn:</t>
        </r>
        <r>
          <rPr>
            <sz val="9"/>
            <color indexed="81"/>
            <rFont val="Calibri"/>
            <family val="2"/>
            <charset val="134"/>
          </rPr>
          <t xml:space="preserve">
Used as limiter setting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tc={6D406A92-9E9F-4CD6-924C-EADB89491EC7}</author>
    <author>tc={53C60DDC-6F20-4EF4-A616-63F25BD5C0DB}</author>
    <author>tc={C7B30F57-6D47-46BF-979E-2490B3B5B160}</author>
    <author>tc={7B6A77D8-B873-4F50-B903-638FC92ECD7F}</author>
    <author>Klas Dalbjörn</author>
  </authors>
  <commentList>
    <comment ref="M2" authorId="0" shapeId="0" xr:uid="{00000000-0006-0000-03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1</t>
      </text>
    </comment>
    <comment ref="M3" authorId="1" shapeId="0" xr:uid="{00000000-0006-0000-03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2</t>
      </text>
    </comment>
    <comment ref="M4" authorId="2" shapeId="0" xr:uid="{00000000-0006-0000-0300-000003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3</t>
      </text>
    </comment>
    <comment ref="M5" authorId="3" shapeId="0" xr:uid="{00000000-0006-0000-0300-000004000000}">
      <text>
        <t>[Opmerkingenthread]
U kunt deze opmerkingenthread lezen in uw versie van Excel. Eventuele wijzigingen aan de thread gaan echter verloren als het bestand wordt geopend in een nieuwere versie van Excel. Meer informatie: https://go.microsoft.com/fwlink/?linkid=870924
Opmerking:
    Scenario 4</t>
      </text>
    </comment>
    <comment ref="N7" authorId="4" shapeId="0" xr:uid="{00000000-0006-0000-0300-000005000000}">
      <text>
        <r>
          <rPr>
            <b/>
            <sz val="9"/>
            <color indexed="81"/>
            <rFont val="Calibri"/>
            <family val="2"/>
            <charset val="134"/>
          </rPr>
          <t>Klas Dalbjörn:</t>
        </r>
        <r>
          <rPr>
            <sz val="9"/>
            <color indexed="81"/>
            <rFont val="Calibri"/>
            <family val="2"/>
            <charset val="134"/>
          </rPr>
          <t xml:space="preserve">
I suggest that this is a power level that we know that  we can sustain forever in 25 C with a 4 ohm load</t>
        </r>
      </text>
    </comment>
    <comment ref="B91" authorId="4" shapeId="0" xr:uid="{00000000-0006-0000-0300-000006000000}">
      <text>
        <r>
          <rPr>
            <b/>
            <sz val="9"/>
            <color indexed="81"/>
            <rFont val="Calibri"/>
            <family val="2"/>
            <charset val="134"/>
          </rPr>
          <t>Klas Dalbjörn:</t>
        </r>
        <r>
          <rPr>
            <sz val="9"/>
            <color indexed="81"/>
            <rFont val="Calibri"/>
            <family val="2"/>
            <charset val="134"/>
          </rPr>
          <t xml:space="preserve">
Used as limiter setting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<sst xmlns="http://schemas.openxmlformats.org/spreadsheetml/2006/main" count="724" uniqueCount="209">
  <si>
    <t>Welcome</t>
  </si>
  <si>
    <t>WARNING: Please remember that this is still a beta version, do not distribuite it on the net and for any question follow this link:</t>
  </si>
  <si>
    <t>https://www.powersoft.com/en/my-powersoft/support-form?type=technicalsupport</t>
  </si>
  <si>
    <t>You have to select the amplifier you want to use and enter loudspeakers data and profile of your system.</t>
  </si>
  <si>
    <t>The sheet will give a summary of how much power per channel the amplifier can deliver to your system, and how much headroom you have per channel.</t>
  </si>
  <si>
    <t>PowerSharing Tools provides also Limiters parameters to protect loudspeakers from damadges. All the parameters in this tool has to be considered as a starting point when you're creating your personal settings.</t>
  </si>
  <si>
    <t>DISCLAIMER</t>
  </si>
  <si>
    <r>
      <rPr>
        <b/>
        <sz val="10"/>
        <rFont val="Gill Sans"/>
        <family val="2"/>
      </rPr>
      <t>The information achieved by this tool is provided on an "AS IS", "AS AVAILABLE" and "WITH ALL FAULTS" basis</t>
    </r>
    <r>
      <rPr>
        <sz val="10"/>
        <rFont val="Gill Sans"/>
        <family val="2"/>
      </rPr>
      <t>. Neither Powersoft nor any of its officials and employees makes any warranty of any kind for this information, express or implied, including but not limited to any warranties of merchantability or fitness for a particular purpose, nor shall the distribution of this information constitute any warranty.</t>
    </r>
  </si>
  <si>
    <t>The informations on this tool may be sligthly different from the official datasheets and from the result in a real application of the product. Powersoft, its officials, and employees assume no responsibility or legal liability for the accuracy, completeness, reliability, timeliness, or usefulness of any information available on this tool nor do they represent that the use of any information will not infringe privately owned rights.</t>
  </si>
  <si>
    <t>Informations in this file can change without notice and are not intended to constitute advice. You should not act (or refrain from acting) based upon information in this site without independently verifying the information and, as necessary, obtaining professional advice regarding your particular facts and circumstances.</t>
  </si>
  <si>
    <t>References to any specific commercial product, process, service by trade name, trademark, or manufacturer do not constitute or imply endorsement, recommendation, or favoring by Powersoft and its officials and employees.</t>
  </si>
  <si>
    <t>COPYRIGHT</t>
  </si>
  <si>
    <t>No part of this tool or any of its contents may be reproduced, copied, modified or adapted, without the prior written consent of Powersoft S.p.A. unless otherwise indicated for stand-alone materials.</t>
  </si>
  <si>
    <t>Commercial use and distribution of the informationachieved by this tool is not allowed without express and prior written consent of Powersoft S.p.A.</t>
  </si>
  <si>
    <t>Hi-Z calculator</t>
  </si>
  <si>
    <t>Lo-Z</t>
  </si>
  <si>
    <t xml:space="preserve">Pmains max at </t>
  </si>
  <si>
    <t>Amplifier data</t>
  </si>
  <si>
    <t>Selected</t>
  </si>
  <si>
    <t>Voltage alternatives</t>
  </si>
  <si>
    <t>P</t>
  </si>
  <si>
    <t>100V</t>
  </si>
  <si>
    <t>vs Imax</t>
  </si>
  <si>
    <t>Max Ptot, burst</t>
  </si>
  <si>
    <t>Znom 25V</t>
  </si>
  <si>
    <t>70V</t>
  </si>
  <si>
    <t>Znom 70V</t>
  </si>
  <si>
    <t>25V</t>
  </si>
  <si>
    <t>Znom 100V</t>
  </si>
  <si>
    <t>Unused</t>
  </si>
  <si>
    <t>Max Ptot, avg</t>
  </si>
  <si>
    <t xml:space="preserve">User Input </t>
  </si>
  <si>
    <t>Comments</t>
  </si>
  <si>
    <t>Max Pburst/ch</t>
  </si>
  <si>
    <t>Nominal</t>
  </si>
  <si>
    <t>Amplifier model</t>
  </si>
  <si>
    <t>Lo-Z voltage</t>
  </si>
  <si>
    <t>Actual</t>
  </si>
  <si>
    <t>Mains</t>
  </si>
  <si>
    <t>Max Apeak/ch</t>
  </si>
  <si>
    <t>Channel</t>
  </si>
  <si>
    <t>Max Vpeak/ch</t>
  </si>
  <si>
    <t>Profile</t>
  </si>
  <si>
    <t>Active power</t>
  </si>
  <si>
    <t>Crest factor</t>
  </si>
  <si>
    <t>Average reduction</t>
  </si>
  <si>
    <t>RMS Scaling</t>
  </si>
  <si>
    <t>Loudspeaker data</t>
  </si>
  <si>
    <t>P act mains slow</t>
  </si>
  <si>
    <t>SW</t>
  </si>
  <si>
    <r>
      <t>P</t>
    </r>
    <r>
      <rPr>
        <vertAlign val="subscript"/>
        <sz val="12"/>
        <color theme="1"/>
        <rFont val="Calibri"/>
        <family val="2"/>
        <scheme val="minor"/>
      </rPr>
      <t>AES</t>
    </r>
    <r>
      <rPr>
        <sz val="12"/>
        <color theme="1"/>
        <rFont val="Calibri"/>
        <family val="2"/>
        <scheme val="minor"/>
      </rPr>
      <t xml:space="preserve"> (or Hi-Z tap)</t>
    </r>
  </si>
  <si>
    <t xml:space="preserve">This should be the AES power for one cabinet or the tap value of a Hi-Z loudspeaker. </t>
  </si>
  <si>
    <t>P ch slow</t>
  </si>
  <si>
    <t>LF</t>
  </si>
  <si>
    <t>Loudspeaker type</t>
  </si>
  <si>
    <t>Select: Lo-Z / 100V / 70V / 25V / Unused</t>
  </si>
  <si>
    <t>MF</t>
  </si>
  <si>
    <t>Z nominal</t>
  </si>
  <si>
    <t>Nominal impedance (Only necessary if Lo-Z)</t>
  </si>
  <si>
    <t>HF</t>
  </si>
  <si>
    <t>#Cabinets in parallel</t>
  </si>
  <si>
    <t>Number of parallel speakers per channel</t>
  </si>
  <si>
    <t>n_net_eff1</t>
  </si>
  <si>
    <t>FR</t>
  </si>
  <si>
    <t>Select: SW / LF / MF / HF / FR</t>
  </si>
  <si>
    <t>Vpk1</t>
  </si>
  <si>
    <t>Average active power</t>
  </si>
  <si>
    <t>READ ONLY! Combination of Crest factor and the fact that the speaker isn't a resistive load</t>
  </si>
  <si>
    <t>n_net_eff2</t>
  </si>
  <si>
    <t>Peak Limiter</t>
  </si>
  <si>
    <t>RMS Limiter</t>
  </si>
  <si>
    <t>User limiter</t>
  </si>
  <si>
    <t>Select full power (0 dB) or reduce power with a negative dB value</t>
  </si>
  <si>
    <t>Vpk2</t>
  </si>
  <si>
    <t>Attack</t>
  </si>
  <si>
    <t>Release</t>
  </si>
  <si>
    <t>Amplifier Output</t>
  </si>
  <si>
    <t>Total</t>
  </si>
  <si>
    <t>Headroom</t>
  </si>
  <si>
    <t>k</t>
  </si>
  <si>
    <t>16 - 32 ms</t>
  </si>
  <si>
    <t>128 - 384 ms</t>
  </si>
  <si>
    <t>2 - 4 sec</t>
  </si>
  <si>
    <t>4- 8 sec</t>
  </si>
  <si>
    <t>m</t>
  </si>
  <si>
    <t>8 - 16 ms</t>
  </si>
  <si>
    <t>64 - 256 ms</t>
  </si>
  <si>
    <t>1 - 2 sec</t>
  </si>
  <si>
    <t>Power</t>
  </si>
  <si>
    <r>
      <t>Lo-Z speaker = P</t>
    </r>
    <r>
      <rPr>
        <vertAlign val="subscript"/>
        <sz val="12"/>
        <color theme="1" tint="0.499984740745262"/>
        <rFont val="Calibri"/>
        <family val="2"/>
        <scheme val="minor"/>
      </rPr>
      <t>AES</t>
    </r>
    <r>
      <rPr>
        <sz val="12"/>
        <color theme="1" tint="0.499984740745262"/>
        <rFont val="Calibri"/>
        <family val="2"/>
        <scheme val="minor"/>
      </rPr>
      <t xml:space="preserve"> x 2, Hi-Z speaker = rated power</t>
    </r>
  </si>
  <si>
    <t>2 - 8 ms</t>
  </si>
  <si>
    <t>16 - 64 ms</t>
  </si>
  <si>
    <t>0,3 - 0,8 sec</t>
  </si>
  <si>
    <t>0,5 - 2 sec</t>
  </si>
  <si>
    <t>P average</t>
  </si>
  <si>
    <t>Pidle</t>
  </si>
  <si>
    <t>0,5 - 2 ms</t>
  </si>
  <si>
    <t>8 - 32 ms</t>
  </si>
  <si>
    <t>0,15 - 0,3 sec</t>
  </si>
  <si>
    <t>Peak voltage</t>
  </si>
  <si>
    <t>PF</t>
  </si>
  <si>
    <t>Peak current</t>
  </si>
  <si>
    <t>Z</t>
  </si>
  <si>
    <t>Overall impedance</t>
  </si>
  <si>
    <t>P app. mains max</t>
  </si>
  <si>
    <t>Z min</t>
  </si>
  <si>
    <t>This is an assumption to try to ensure that there is output current headroom in the impedance dips.</t>
  </si>
  <si>
    <t>Round 1 - Ptot burst limited (hidden from user)</t>
  </si>
  <si>
    <t>Pburst channel limitation 1</t>
  </si>
  <si>
    <t>Pburst ch limit incl Umax</t>
  </si>
  <si>
    <t>Pburst ch limit incl Imax</t>
  </si>
  <si>
    <t>P burst</t>
  </si>
  <si>
    <t>Round 2 - Per channel limitation (hidden from user)</t>
  </si>
  <si>
    <t>Factor 2</t>
  </si>
  <si>
    <t>P of channels that can be increased</t>
  </si>
  <si>
    <t>Round 3 - Increase the previously decreased channels (hidden from user)</t>
  </si>
  <si>
    <t>Factor 3</t>
  </si>
  <si>
    <t>Round 4 - Increase the previously decreased channels (hidden from user)</t>
  </si>
  <si>
    <t>Factor 4</t>
  </si>
  <si>
    <t xml:space="preserve">Round 5 </t>
  </si>
  <si>
    <t>P average with maintained CF</t>
  </si>
  <si>
    <t>P average with equal reduction</t>
  </si>
  <si>
    <t>P average compromise</t>
  </si>
  <si>
    <t>Factor</t>
  </si>
  <si>
    <t>Pidle/ch</t>
  </si>
  <si>
    <t>Possible power from the amplifier</t>
  </si>
  <si>
    <t>#channels</t>
  </si>
  <si>
    <t>RMS voltage without use mains current limit</t>
  </si>
  <si>
    <t>P average with mains current limit</t>
  </si>
  <si>
    <t xml:space="preserve">Peak voltage </t>
  </si>
  <si>
    <t>RMS voltage</t>
  </si>
  <si>
    <t>Desired crest factor</t>
  </si>
  <si>
    <t>Difference between average power and average voltage</t>
  </si>
  <si>
    <t xml:space="preserve">Peak current </t>
  </si>
  <si>
    <t>Dipswitch setting for Canali series</t>
  </si>
  <si>
    <t>X series Channel/Rail Limitation</t>
  </si>
  <si>
    <t>Peak current requested</t>
  </si>
  <si>
    <t>Delta Voltage</t>
  </si>
  <si>
    <t>Vpk limited</t>
  </si>
  <si>
    <t>Possible vs desired (average)</t>
  </si>
  <si>
    <t>8 ohm P out</t>
  </si>
  <si>
    <t>Crest factor possible</t>
  </si>
  <si>
    <t>8 ohm BTU</t>
  </si>
  <si>
    <t>Crest factor headroom</t>
  </si>
  <si>
    <t>8 ohm P in</t>
  </si>
  <si>
    <t>Current draw and thermal dissipation</t>
  </si>
  <si>
    <t>N eff 8 ohm</t>
  </si>
  <si>
    <t>Automatic settings</t>
  </si>
  <si>
    <t>P ch fast</t>
  </si>
  <si>
    <t>4 ohm BTU</t>
  </si>
  <si>
    <t>P mains slow</t>
  </si>
  <si>
    <t>Estimated net efficiency</t>
  </si>
  <si>
    <t>P mains worst case</t>
  </si>
  <si>
    <t>P mains estimated</t>
  </si>
  <si>
    <t>I mains estimated</t>
  </si>
  <si>
    <t>I mains limited to</t>
  </si>
  <si>
    <t>4ohm BTU</t>
  </si>
  <si>
    <t>P mains possible</t>
  </si>
  <si>
    <t>1/4th power</t>
  </si>
  <si>
    <t>Pout possible (burst with the same CF)</t>
  </si>
  <si>
    <t>P out possible (average)</t>
  </si>
  <si>
    <t>Pout 4 ohm</t>
  </si>
  <si>
    <t>Crest factor extension</t>
  </si>
  <si>
    <t>Gain reduction (burst)</t>
  </si>
  <si>
    <t>1/8th power, Vpk</t>
  </si>
  <si>
    <t>Gain reduction (average)</t>
  </si>
  <si>
    <t>BTU</t>
  </si>
  <si>
    <t>P loss</t>
  </si>
  <si>
    <t>P 1/8th in 4 ohm</t>
  </si>
  <si>
    <t>N eff 4 ohm</t>
  </si>
  <si>
    <t>Apparent power</t>
  </si>
  <si>
    <t>Suggested Limiters Treshold</t>
  </si>
  <si>
    <t>Values that should be used in the Ways section of ArmoniaPlus if creating custom presets</t>
  </si>
  <si>
    <t>Clip voltage</t>
  </si>
  <si>
    <t>Attack Time Range</t>
  </si>
  <si>
    <t>Release Time Range</t>
  </si>
  <si>
    <t>MEZZO 324</t>
  </si>
  <si>
    <t>MEZZO 604</t>
  </si>
  <si>
    <t>Quattrocanali 8804</t>
  </si>
  <si>
    <t>Quattrocanali 4804</t>
  </si>
  <si>
    <t>Quattrocanali 2404</t>
  </si>
  <si>
    <t>Quattrocanali 1204</t>
  </si>
  <si>
    <t>Max Pch 70V</t>
  </si>
  <si>
    <t>Max Pch 100V</t>
  </si>
  <si>
    <t>Max Ptot 70V</t>
  </si>
  <si>
    <t>Max Ptot 100V</t>
  </si>
  <si>
    <t>Headroom 70V</t>
  </si>
  <si>
    <t>Headroom 100V</t>
  </si>
  <si>
    <t>Max Vpk Channel limited</t>
  </si>
  <si>
    <t>MEZZO 322</t>
  </si>
  <si>
    <t>MEZZO 602</t>
  </si>
  <si>
    <t>Duecanali 6404</t>
  </si>
  <si>
    <t>Duecanali 4804</t>
  </si>
  <si>
    <t>Duecanali 1604</t>
  </si>
  <si>
    <t>Duecanali 804</t>
  </si>
  <si>
    <t>Unica 8K8</t>
  </si>
  <si>
    <t>Unica 4K8</t>
  </si>
  <si>
    <t>Unica 2K8</t>
  </si>
  <si>
    <t>© Powersoft S.p.A. 2024 All Rights Reserved</t>
  </si>
  <si>
    <t>POWER SHARING TOOL  v5 - INSTALL LINE</t>
  </si>
  <si>
    <r>
      <t xml:space="preserve">This tool is designed to help you to understand power sharing capabilities in Powersoft amplifiers. With this tool you can choose an amplifier and specify the loudspeakers system configuration you want to use for </t>
    </r>
    <r>
      <rPr>
        <b/>
        <sz val="11"/>
        <rFont val="Gill Sans"/>
        <family val="2"/>
      </rPr>
      <t>fixed install</t>
    </r>
    <r>
      <rPr>
        <sz val="11"/>
        <rFont val="Gill Sans"/>
        <family val="2"/>
      </rPr>
      <t>. Results are estimated values and must be used as a starting point for your system design</t>
    </r>
    <r>
      <rPr>
        <vertAlign val="superscript"/>
        <sz val="10"/>
        <rFont val="Gill Sans"/>
      </rPr>
      <t>*</t>
    </r>
    <r>
      <rPr>
        <sz val="11"/>
        <rFont val="Gill Sans"/>
        <family val="2"/>
      </rPr>
      <t>.</t>
    </r>
  </si>
  <si>
    <t>Unica 4L 9K4</t>
  </si>
  <si>
    <t>Unica 4L 5K4</t>
  </si>
  <si>
    <t>Unica 4L 12K4</t>
  </si>
  <si>
    <t>Unica 4L 16K4</t>
  </si>
  <si>
    <t>Unica 1K8</t>
  </si>
  <si>
    <t>POWER SHARING - Install Series</t>
  </si>
  <si>
    <t>Dipswitch setting for Quattrocanali series (Not necessary if loading Speaker Presets)</t>
  </si>
  <si>
    <t>Dipswitch setting for Duecanali series (Not necessary if loading Speaker Presets)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</si>
</sst>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0&quot; W&quot;"/>
    <numFmt numFmtId="165" formatCode="0.0&quot; Apk&quot;"/>
    <numFmt numFmtId="166" formatCode="0.0&quot; Vpk&quot;"/>
    <numFmt numFmtId="167" formatCode="0.0&quot; ohm&quot;"/>
    <numFmt numFmtId="168" formatCode="0&quot; dB&quot;"/>
    <numFmt numFmtId="169" formatCode="0.0&quot; dB&quot;"/>
    <numFmt numFmtId="170" formatCode="0.0&quot; W&quot;"/>
    <numFmt numFmtId="171" formatCode="0.0%"/>
    <numFmt numFmtId="172" formatCode="0&quot; V&quot;"/>
    <numFmt numFmtId="173" formatCode="0.0&quot; Arms&quot;"/>
    <numFmt numFmtId="174" formatCode="0&quot; BTU/h&quot;"/>
    <numFmt numFmtId="175" formatCode="0&quot; VA&quot;"/>
    <numFmt numFmtId="176" formatCode="0&quot; Arms&quot;"/>
    <numFmt numFmtId="177" formatCode="0&quot; Vpk&quot;"/>
    <numFmt numFmtId="178" formatCode="0&quot; Apk&quot;"/>
    <numFmt numFmtId="179" formatCode="0.0"/>
    <numFmt numFmtId="180" formatCode="0&quot; A&quot;"/>
  </numFmts>
  <fonts count="59">
    <font>
      <sz val="12"/>
      <color theme="1"/>
      <name val="Calibri"/>
      <family val="2"/>
      <scheme val="minor"/>
    </font>
    <font>
      <sz val="11"/>
      <color theme="1"/>
      <name val="Calibri"/>
      <family val="2"/>
      <scheme val="minor"/>
    </font>
    <font>
      <sz val="12"/>
      <color theme="1"/>
      <name val="Calibri"/>
      <family val="2"/>
      <charset val="134"/>
      <scheme val="minor"/>
    </font>
    <font>
      <b/>
      <sz val="12"/>
      <color theme="1"/>
      <name val="Calibri"/>
      <family val="2"/>
      <charset val="134"/>
      <scheme val="minor"/>
    </font>
    <font>
      <sz val="12"/>
      <color theme="0"/>
      <name val="Calibri"/>
      <family val="2"/>
      <charset val="134"/>
      <scheme val="minor"/>
    </font>
    <font>
      <u/>
      <sz val="12"/>
      <color theme="10"/>
      <name val="Calibri"/>
      <family val="2"/>
      <charset val="134"/>
      <scheme val="minor"/>
    </font>
    <font>
      <u/>
      <sz val="12"/>
      <color theme="11"/>
      <name val="Calibri"/>
      <family val="2"/>
      <charset val="134"/>
      <scheme val="minor"/>
    </font>
    <font>
      <b/>
      <sz val="12"/>
      <color theme="1" tint="0.499984740745262"/>
      <name val="Calibri"/>
      <family val="2"/>
      <scheme val="minor"/>
    </font>
    <font>
      <sz val="12"/>
      <color theme="1" tint="0.499984740745262"/>
      <name val="Calibri"/>
      <family val="2"/>
      <scheme val="minor"/>
    </font>
    <font>
      <i/>
      <sz val="12"/>
      <color theme="1"/>
      <name val="Calibri"/>
      <family val="2"/>
      <scheme val="minor"/>
    </font>
    <font>
      <sz val="6"/>
      <color theme="1"/>
      <name val="Calibri"/>
      <family val="2"/>
      <scheme val="minor"/>
    </font>
    <font>
      <sz val="9"/>
      <color indexed="81"/>
      <name val="Calibri"/>
      <family val="2"/>
      <charset val="134"/>
    </font>
    <font>
      <b/>
      <sz val="9"/>
      <color indexed="81"/>
      <name val="Calibri"/>
      <family val="2"/>
      <charset val="134"/>
    </font>
    <font>
      <b/>
      <sz val="12"/>
      <name val="Calibri"/>
      <family val="2"/>
      <scheme val="minor"/>
    </font>
    <font>
      <b/>
      <i/>
      <sz val="12"/>
      <color rgb="FF008000"/>
      <name val="Calibri"/>
      <family val="2"/>
      <scheme val="minor"/>
    </font>
    <font>
      <i/>
      <sz val="12"/>
      <color theme="1" tint="0.499984740745262"/>
      <name val="Calibri"/>
      <family val="2"/>
      <scheme val="minor"/>
    </font>
    <font>
      <sz val="11"/>
      <color theme="1" tint="0.499984740745262"/>
      <name val="Calibri"/>
      <family val="2"/>
      <scheme val="minor"/>
    </font>
    <font>
      <b/>
      <sz val="16"/>
      <color theme="1"/>
      <name val="Calibri"/>
      <family val="2"/>
      <scheme val="minor"/>
    </font>
    <font>
      <b/>
      <sz val="12"/>
      <color rgb="FFFF0000"/>
      <name val="Calibri"/>
      <family val="2"/>
      <scheme val="minor"/>
    </font>
    <font>
      <b/>
      <sz val="14"/>
      <color theme="1"/>
      <name val="Calibri"/>
      <family val="2"/>
      <scheme val="minor"/>
    </font>
    <font>
      <sz val="14"/>
      <color theme="1"/>
      <name val="Calibri"/>
      <family val="2"/>
      <scheme val="minor"/>
    </font>
    <font>
      <sz val="12"/>
      <color theme="0" tint="-0.499984740745262"/>
      <name val="Calibri"/>
      <family val="2"/>
      <scheme val="minor"/>
    </font>
    <font>
      <sz val="12"/>
      <color rgb="FF008000"/>
      <name val="Calibri"/>
      <family val="2"/>
      <scheme val="minor"/>
    </font>
    <font>
      <sz val="12"/>
      <color theme="0" tint="-0.34998626667073579"/>
      <name val="Calibri"/>
      <family val="2"/>
      <scheme val="minor"/>
    </font>
    <font>
      <sz val="12"/>
      <color rgb="FFFF0000"/>
      <name val="Calibri"/>
      <family val="2"/>
      <scheme val="minor"/>
    </font>
    <font>
      <sz val="11"/>
      <color rgb="FFFF0000"/>
      <name val="Calibri"/>
      <family val="2"/>
      <scheme val="minor"/>
    </font>
    <font>
      <sz val="8"/>
      <color theme="1" tint="0.499984740745262"/>
      <name val="Calibri"/>
      <family val="2"/>
      <scheme val="minor"/>
    </font>
    <font>
      <b/>
      <sz val="12"/>
      <color theme="1"/>
      <name val="Calibri"/>
      <family val="2"/>
      <scheme val="minor"/>
    </font>
    <font>
      <b/>
      <u/>
      <sz val="28"/>
      <color theme="1"/>
      <name val="Calibri"/>
      <family val="2"/>
      <scheme val="minor"/>
    </font>
    <font>
      <sz val="12"/>
      <color rgb="FFFFC000"/>
      <name val="Calibri"/>
      <family val="2"/>
      <scheme val="minor"/>
    </font>
    <font>
      <b/>
      <sz val="12"/>
      <color theme="1" tint="0.499984740745262"/>
      <name val="Calibri"/>
      <family val="2"/>
      <charset val="134"/>
      <scheme val="minor"/>
    </font>
    <font>
      <b/>
      <sz val="28"/>
      <color rgb="FF0088C4"/>
      <name val="Calibri"/>
      <family val="2"/>
      <scheme val="minor"/>
    </font>
    <font>
      <sz val="12"/>
      <color rgb="FF0088C4"/>
      <name val="Calibri"/>
      <family val="2"/>
      <scheme val="minor"/>
    </font>
    <font>
      <b/>
      <sz val="12"/>
      <color rgb="FF0088C4"/>
      <name val="Calibri"/>
      <family val="2"/>
      <scheme val="minor"/>
    </font>
    <font>
      <b/>
      <sz val="12"/>
      <color theme="0"/>
      <name val="Calibri"/>
      <family val="2"/>
      <scheme val="minor"/>
    </font>
    <font>
      <b/>
      <sz val="16"/>
      <color rgb="FF0088C4"/>
      <name val="Gill Sans"/>
      <family val="2"/>
    </font>
    <font>
      <sz val="11"/>
      <color theme="4" tint="-0.249977111117893"/>
      <name val="Gill Sans"/>
      <family val="2"/>
    </font>
    <font>
      <sz val="16"/>
      <name val="Gill Sans"/>
      <family val="2"/>
    </font>
    <font>
      <u/>
      <sz val="11"/>
      <color theme="1"/>
      <name val="Calibri"/>
      <family val="2"/>
      <scheme val="minor"/>
    </font>
    <font>
      <sz val="11"/>
      <color theme="0"/>
      <name val="Gill Sans"/>
      <family val="2"/>
    </font>
    <font>
      <sz val="11"/>
      <name val="Gill Sans"/>
      <family val="2"/>
    </font>
    <font>
      <b/>
      <sz val="11"/>
      <name val="Gill Sans"/>
      <family val="2"/>
    </font>
    <font>
      <sz val="11"/>
      <name val="Calibri"/>
      <family val="2"/>
      <scheme val="minor"/>
    </font>
    <font>
      <b/>
      <sz val="12"/>
      <color rgb="FF0088C4"/>
      <name val="Gill Sans"/>
      <family val="2"/>
    </font>
    <font>
      <sz val="10"/>
      <name val="Gill Sans"/>
      <family val="2"/>
    </font>
    <font>
      <b/>
      <sz val="10"/>
      <name val="Gill Sans"/>
      <family val="2"/>
    </font>
    <font>
      <b/>
      <sz val="12"/>
      <color rgb="FF0088C4"/>
      <name val="Gill Sans"/>
    </font>
    <font>
      <b/>
      <sz val="14"/>
      <name val="Gill Sans"/>
      <family val="2"/>
    </font>
    <font>
      <sz val="12"/>
      <color rgb="FF00B0F0"/>
      <name val="Calibri"/>
      <family val="2"/>
      <scheme val="minor"/>
    </font>
    <font>
      <sz val="11"/>
      <color rgb="FF006100"/>
      <name val="Calibri"/>
      <family val="2"/>
      <scheme val="minor"/>
    </font>
    <font>
      <sz val="11"/>
      <color rgb="FF9C5700"/>
      <name val="Calibri"/>
      <family val="2"/>
      <scheme val="minor"/>
    </font>
    <font>
      <sz val="11"/>
      <name val="Gill Sans"/>
    </font>
    <font>
      <b/>
      <i/>
      <sz val="12"/>
      <color theme="1"/>
      <name val="Calibri"/>
      <family val="2"/>
      <scheme val="minor"/>
    </font>
    <font>
      <vertAlign val="superscript"/>
      <sz val="10"/>
      <name val="Gill Sans"/>
    </font>
    <font>
      <vertAlign val="subscript"/>
      <sz val="12"/>
      <color theme="1" tint="0.499984740745262"/>
      <name val="Calibri"/>
      <family val="2"/>
      <scheme val="minor"/>
    </font>
    <font>
      <vertAlign val="subscript"/>
      <sz val="12"/>
      <color theme="1"/>
      <name val="Calibri"/>
      <family val="2"/>
      <scheme val="minor"/>
    </font>
    <font>
      <u/>
      <sz val="11"/>
      <name val="Gill Sans"/>
      <family val="2"/>
    </font>
    <font>
      <u/>
      <sz val="12"/>
      <color theme="10"/>
      <name val="Calibri"/>
      <family val="2"/>
      <scheme val="minor"/>
    </font>
    <font>
      <sz val="8"/>
      <name val="Calibri"/>
      <family val="2"/>
      <scheme val="minor"/>
    </font>
  </fonts>
  <fills count="1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C000"/>
        <bgColor indexed="64"/>
      </patternFill>
    </fill>
    <fill>
      <patternFill patternType="solid">
        <fgColor theme="2" tint="-9.9978637043366805E-2"/>
        <bgColor indexed="64"/>
      </patternFill>
    </fill>
    <fill>
      <patternFill patternType="solid">
        <fgColor rgb="FFFF0000"/>
        <bgColor indexed="64"/>
      </patternFill>
    </fill>
    <fill>
      <patternFill patternType="solid">
        <fgColor rgb="FFE2E2E2"/>
        <bgColor indexed="64"/>
      </patternFill>
    </fill>
    <fill>
      <patternFill patternType="solid">
        <fgColor rgb="FF0088C4"/>
        <bgColor indexed="64"/>
      </patternFill>
    </fill>
    <fill>
      <patternFill patternType="solid">
        <fgColor rgb="FFC6EFCE"/>
      </patternFill>
    </fill>
    <fill>
      <patternFill patternType="solid">
        <fgColor rgb="FFFFEB9C"/>
      </patternFill>
    </fill>
  </fills>
  <borders count="35">
    <border>
      <left/>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right/>
      <top/>
      <bottom style="medium">
        <color auto="1"/>
      </bottom>
      <diagonal/>
    </border>
    <border>
      <left/>
      <right style="thin">
        <color indexed="64"/>
      </right>
      <top/>
      <bottom/>
      <diagonal/>
    </border>
    <border>
      <left style="thin">
        <color indexed="64"/>
      </left>
      <right/>
      <top/>
      <bottom/>
      <diagonal/>
    </border>
    <border>
      <left style="thin">
        <color indexed="64"/>
      </left>
      <right/>
      <top/>
      <bottom style="medium">
        <color auto="1"/>
      </bottom>
      <diagonal/>
    </border>
    <border>
      <left/>
      <right style="thin">
        <color indexed="64"/>
      </right>
      <top style="medium">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theme="4" tint="-0.24994659260841701"/>
      </left>
      <right/>
      <top/>
      <bottom/>
      <diagonal/>
    </border>
    <border>
      <left style="medium">
        <color auto="1"/>
      </left>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medium">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style="thin">
        <color indexed="64"/>
      </right>
      <top/>
      <bottom style="medium">
        <color auto="1"/>
      </bottom>
      <diagonal/>
    </border>
    <border>
      <left/>
      <right style="medium">
        <color indexed="64"/>
      </right>
      <top style="medium">
        <color auto="1"/>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theme="4" tint="-0.24994659260841701"/>
      </right>
      <top/>
      <bottom/>
      <diagonal/>
    </border>
  </borders>
  <cellStyleXfs count="1716">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9" fontId="2" fillId="0" borderId="0"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1" fillId="0" borderId="0"/>
    <xf numFmtId="0" fontId="49" fillId="9" borderId="0" applyNumberFormat="0" applyBorder="0" applyAlignment="0" applyProtection="0"/>
    <xf numFmtId="0" fontId="50" fillId="10" borderId="0" applyNumberFormat="0" applyBorder="0" applyAlignment="0" applyProtection="0"/>
    <xf numFmtId="0" fontId="57" fillId="0" borderId="0" applyNumberFormat="0" applyFill="0" applyBorder="0" applyAlignment="0" applyProtection="0"/>
  </cellStyleXfs>
  <cellXfs count="414">
    <xf numFmtId="0" fontId="0" fillId="0" borderId="0" xfId="0"/>
    <xf numFmtId="0" fontId="0" fillId="3" borderId="0" xfId="0" applyFill="1"/>
    <xf numFmtId="0" fontId="0" fillId="3" borderId="0" xfId="0" applyFill="1" applyAlignment="1">
      <alignment horizontal="center"/>
    </xf>
    <xf numFmtId="0" fontId="0" fillId="4" borderId="0" xfId="0" applyFill="1"/>
    <xf numFmtId="0" fontId="3" fillId="3" borderId="1" xfId="0" applyFont="1" applyFill="1" applyBorder="1"/>
    <xf numFmtId="0" fontId="0" fillId="3" borderId="2" xfId="0" applyFill="1" applyBorder="1"/>
    <xf numFmtId="0" fontId="0" fillId="4" borderId="0" xfId="0" applyFill="1" applyAlignment="1">
      <alignment horizontal="right"/>
    </xf>
    <xf numFmtId="0" fontId="25" fillId="4" borderId="0" xfId="0" applyFont="1" applyFill="1" applyAlignment="1">
      <alignment vertical="center" wrapText="1"/>
    </xf>
    <xf numFmtId="0" fontId="3" fillId="3" borderId="0" xfId="0" applyFont="1" applyFill="1"/>
    <xf numFmtId="0" fontId="0" fillId="3" borderId="0" xfId="0" applyFill="1" applyAlignment="1">
      <alignment horizontal="right"/>
    </xf>
    <xf numFmtId="0" fontId="0" fillId="3" borderId="3" xfId="0" applyFill="1" applyBorder="1"/>
    <xf numFmtId="164" fontId="14" fillId="3" borderId="4" xfId="0" applyNumberFormat="1" applyFont="1" applyFill="1" applyBorder="1" applyAlignment="1">
      <alignment horizontal="left"/>
    </xf>
    <xf numFmtId="0" fontId="0" fillId="3" borderId="0" xfId="0" applyFill="1" applyAlignment="1">
      <alignment horizontal="left"/>
    </xf>
    <xf numFmtId="0" fontId="25" fillId="4" borderId="0" xfId="0" quotePrefix="1" applyFont="1" applyFill="1" applyAlignment="1">
      <alignment wrapText="1"/>
    </xf>
    <xf numFmtId="164" fontId="3" fillId="3" borderId="0" xfId="0" applyNumberFormat="1" applyFont="1" applyFill="1"/>
    <xf numFmtId="164" fontId="18" fillId="3" borderId="0" xfId="0" applyNumberFormat="1" applyFont="1" applyFill="1"/>
    <xf numFmtId="167" fontId="8" fillId="3" borderId="4" xfId="0" applyNumberFormat="1" applyFont="1" applyFill="1" applyBorder="1" applyAlignment="1">
      <alignment horizontal="left"/>
    </xf>
    <xf numFmtId="169" fontId="23" fillId="4" borderId="0" xfId="0" applyNumberFormat="1" applyFont="1" applyFill="1" applyAlignment="1">
      <alignment horizontal="right" vertical="center"/>
    </xf>
    <xf numFmtId="164" fontId="7" fillId="3" borderId="0" xfId="0" applyNumberFormat="1" applyFont="1" applyFill="1"/>
    <xf numFmtId="0" fontId="0" fillId="3" borderId="5" xfId="0" applyFill="1" applyBorder="1"/>
    <xf numFmtId="167" fontId="8" fillId="3" borderId="6" xfId="0" applyNumberFormat="1" applyFont="1" applyFill="1" applyBorder="1" applyAlignment="1">
      <alignment horizontal="left"/>
    </xf>
    <xf numFmtId="0" fontId="28" fillId="3" borderId="0" xfId="0" applyFont="1" applyFill="1" applyAlignment="1">
      <alignment horizontal="left" vertical="center"/>
    </xf>
    <xf numFmtId="164" fontId="30" fillId="3" borderId="0" xfId="0" applyNumberFormat="1" applyFont="1" applyFill="1"/>
    <xf numFmtId="164" fontId="0" fillId="3" borderId="0" xfId="0" applyNumberFormat="1" applyFill="1"/>
    <xf numFmtId="0" fontId="17" fillId="3" borderId="1" xfId="0" applyFont="1" applyFill="1" applyBorder="1" applyAlignment="1">
      <alignment vertical="center"/>
    </xf>
    <xf numFmtId="0" fontId="0" fillId="3" borderId="7" xfId="0" applyFill="1" applyBorder="1" applyAlignment="1">
      <alignment vertical="center"/>
    </xf>
    <xf numFmtId="0" fontId="0" fillId="3" borderId="7" xfId="0" applyFill="1" applyBorder="1" applyAlignment="1">
      <alignment horizontal="center" vertical="center"/>
    </xf>
    <xf numFmtId="0" fontId="0" fillId="3" borderId="0" xfId="0" applyFill="1" applyAlignment="1">
      <alignment vertical="center"/>
    </xf>
    <xf numFmtId="164" fontId="3" fillId="3" borderId="0" xfId="0" applyNumberFormat="1" applyFont="1" applyFill="1" applyAlignment="1">
      <alignment vertical="center"/>
    </xf>
    <xf numFmtId="0" fontId="3" fillId="3" borderId="0" xfId="0" applyFont="1" applyFill="1" applyAlignment="1">
      <alignment vertical="center"/>
    </xf>
    <xf numFmtId="0" fontId="3" fillId="3" borderId="0" xfId="0" applyFont="1" applyFill="1" applyAlignment="1">
      <alignment horizontal="right" vertical="center"/>
    </xf>
    <xf numFmtId="164" fontId="19" fillId="3" borderId="0" xfId="0" applyNumberFormat="1" applyFont="1" applyFill="1" applyAlignment="1">
      <alignment horizontal="center" vertical="center"/>
    </xf>
    <xf numFmtId="0" fontId="0" fillId="3" borderId="0" xfId="0" applyFill="1" applyAlignment="1">
      <alignment horizontal="center" vertical="center"/>
    </xf>
    <xf numFmtId="0" fontId="3" fillId="3" borderId="3" xfId="0" applyFont="1" applyFill="1" applyBorder="1" applyAlignment="1">
      <alignment vertical="center"/>
    </xf>
    <xf numFmtId="166" fontId="3" fillId="3" borderId="0" xfId="0" applyNumberFormat="1" applyFont="1" applyFill="1" applyAlignment="1">
      <alignment vertical="center"/>
    </xf>
    <xf numFmtId="0" fontId="20" fillId="3" borderId="0" xfId="0" applyFont="1" applyFill="1" applyAlignment="1">
      <alignment vertical="center"/>
    </xf>
    <xf numFmtId="0" fontId="3" fillId="3" borderId="3" xfId="0" applyFont="1" applyFill="1" applyBorder="1" applyAlignment="1">
      <alignment horizontal="left" vertical="center"/>
    </xf>
    <xf numFmtId="178" fontId="3" fillId="3" borderId="0" xfId="0" applyNumberFormat="1" applyFont="1" applyFill="1" applyAlignment="1">
      <alignment vertical="center"/>
    </xf>
    <xf numFmtId="165" fontId="3" fillId="3" borderId="0" xfId="0" applyNumberFormat="1" applyFont="1" applyFill="1" applyAlignment="1">
      <alignment vertical="center"/>
    </xf>
    <xf numFmtId="168" fontId="0" fillId="3" borderId="0" xfId="0" applyNumberFormat="1" applyFill="1" applyAlignment="1">
      <alignment vertical="center"/>
    </xf>
    <xf numFmtId="0" fontId="0" fillId="3" borderId="3" xfId="0" applyFill="1" applyBorder="1" applyAlignment="1">
      <alignment vertical="center"/>
    </xf>
    <xf numFmtId="169" fontId="3" fillId="3" borderId="0" xfId="0" applyNumberFormat="1" applyFont="1" applyFill="1" applyAlignment="1">
      <alignment horizontal="center" vertical="center"/>
    </xf>
    <xf numFmtId="164" fontId="18" fillId="3" borderId="0" xfId="0" applyNumberFormat="1" applyFont="1" applyFill="1" applyAlignment="1">
      <alignment vertical="center"/>
    </xf>
    <xf numFmtId="168" fontId="21" fillId="3" borderId="0" xfId="0" applyNumberFormat="1" applyFont="1" applyFill="1" applyAlignment="1">
      <alignment horizontal="center" vertical="center"/>
    </xf>
    <xf numFmtId="168" fontId="22" fillId="3" borderId="0" xfId="0" applyNumberFormat="1" applyFont="1" applyFill="1" applyAlignment="1">
      <alignment horizontal="center" vertical="center"/>
    </xf>
    <xf numFmtId="169" fontId="22" fillId="3" borderId="0" xfId="0" applyNumberFormat="1" applyFont="1" applyFill="1" applyAlignment="1">
      <alignment horizontal="center" vertical="center"/>
    </xf>
    <xf numFmtId="0" fontId="8" fillId="3" borderId="4" xfId="0" applyFont="1" applyFill="1" applyBorder="1" applyAlignment="1">
      <alignment vertical="center" wrapText="1"/>
    </xf>
    <xf numFmtId="168" fontId="0" fillId="3" borderId="0" xfId="0" applyNumberFormat="1" applyFill="1" applyAlignment="1">
      <alignment horizontal="center" vertical="center"/>
    </xf>
    <xf numFmtId="169" fontId="0" fillId="3" borderId="0" xfId="0" applyNumberFormat="1" applyFill="1" applyAlignment="1">
      <alignment horizontal="center" vertical="center"/>
    </xf>
    <xf numFmtId="9" fontId="3" fillId="3" borderId="0" xfId="0" applyNumberFormat="1" applyFont="1" applyFill="1" applyAlignment="1">
      <alignment vertical="center"/>
    </xf>
    <xf numFmtId="9" fontId="18" fillId="3" borderId="0" xfId="0" applyNumberFormat="1" applyFont="1" applyFill="1" applyAlignment="1">
      <alignment vertical="center"/>
    </xf>
    <xf numFmtId="168" fontId="3" fillId="3" borderId="0" xfId="0" applyNumberFormat="1" applyFont="1" applyFill="1" applyAlignment="1">
      <alignment horizontal="center" vertical="center"/>
    </xf>
    <xf numFmtId="177" fontId="3" fillId="3" borderId="0" xfId="0" applyNumberFormat="1" applyFont="1" applyFill="1" applyAlignment="1">
      <alignment vertical="center"/>
    </xf>
    <xf numFmtId="177" fontId="18" fillId="3" borderId="0" xfId="0" applyNumberFormat="1" applyFont="1" applyFill="1" applyAlignment="1">
      <alignment vertical="center"/>
    </xf>
    <xf numFmtId="0" fontId="8" fillId="3" borderId="4" xfId="0" applyFont="1" applyFill="1" applyBorder="1" applyAlignment="1">
      <alignment horizontal="left" vertical="center"/>
    </xf>
    <xf numFmtId="0" fontId="0" fillId="3" borderId="5" xfId="0" applyFill="1" applyBorder="1" applyAlignment="1">
      <alignment vertical="center"/>
    </xf>
    <xf numFmtId="171" fontId="0" fillId="3" borderId="0" xfId="0" applyNumberFormat="1" applyFill="1" applyAlignment="1">
      <alignment vertical="center"/>
    </xf>
    <xf numFmtId="175" fontId="3" fillId="3" borderId="0" xfId="0" applyNumberFormat="1" applyFont="1" applyFill="1" applyAlignment="1">
      <alignment vertical="center"/>
    </xf>
    <xf numFmtId="176" fontId="13" fillId="3" borderId="0" xfId="0" applyNumberFormat="1" applyFont="1" applyFill="1" applyAlignment="1">
      <alignment vertical="center"/>
    </xf>
    <xf numFmtId="165" fontId="8" fillId="3" borderId="0" xfId="0" applyNumberFormat="1" applyFont="1" applyFill="1" applyAlignment="1">
      <alignment horizontal="center" vertical="center"/>
    </xf>
    <xf numFmtId="2" fontId="3" fillId="3" borderId="0" xfId="0" applyNumberFormat="1" applyFont="1" applyFill="1" applyAlignment="1">
      <alignment vertical="center"/>
    </xf>
    <xf numFmtId="0" fontId="10" fillId="3" borderId="0" xfId="0" applyFont="1" applyFill="1" applyAlignment="1">
      <alignment vertical="center"/>
    </xf>
    <xf numFmtId="164" fontId="8" fillId="3" borderId="0" xfId="0" applyNumberFormat="1" applyFont="1" applyFill="1" applyAlignment="1">
      <alignment horizontal="center" vertical="center"/>
    </xf>
    <xf numFmtId="164" fontId="0" fillId="3" borderId="0" xfId="0" applyNumberFormat="1" applyFill="1" applyAlignment="1">
      <alignment horizontal="center" vertical="center"/>
    </xf>
    <xf numFmtId="164" fontId="0" fillId="3" borderId="0" xfId="0" applyNumberFormat="1" applyFill="1" applyAlignment="1">
      <alignment vertical="center"/>
    </xf>
    <xf numFmtId="0" fontId="0" fillId="3" borderId="4" xfId="0" applyFill="1" applyBorder="1" applyAlignment="1">
      <alignment vertical="center"/>
    </xf>
    <xf numFmtId="2" fontId="4" fillId="3" borderId="0" xfId="0" applyNumberFormat="1" applyFont="1" applyFill="1" applyAlignment="1">
      <alignment horizontal="center" vertical="center"/>
    </xf>
    <xf numFmtId="165" fontId="7" fillId="3" borderId="0" xfId="0" applyNumberFormat="1" applyFont="1" applyFill="1" applyAlignment="1">
      <alignment horizontal="center" vertical="center"/>
    </xf>
    <xf numFmtId="0" fontId="0" fillId="3" borderId="10" xfId="0" applyFill="1" applyBorder="1" applyAlignment="1">
      <alignment vertical="center"/>
    </xf>
    <xf numFmtId="2" fontId="21" fillId="3" borderId="0" xfId="0" applyNumberFormat="1" applyFont="1" applyFill="1" applyAlignment="1">
      <alignment horizontal="center" vertical="center"/>
    </xf>
    <xf numFmtId="171" fontId="0" fillId="3" borderId="0" xfId="497" applyNumberFormat="1" applyFont="1" applyFill="1" applyAlignment="1" applyProtection="1">
      <alignment vertical="center"/>
    </xf>
    <xf numFmtId="169" fontId="8" fillId="3" borderId="0" xfId="0" applyNumberFormat="1" applyFont="1" applyFill="1" applyAlignment="1">
      <alignment horizontal="center" vertical="center"/>
    </xf>
    <xf numFmtId="0" fontId="0" fillId="3" borderId="8" xfId="0" applyFill="1" applyBorder="1" applyAlignment="1">
      <alignment horizontal="center" vertical="center"/>
    </xf>
    <xf numFmtId="0" fontId="0" fillId="4" borderId="0" xfId="0" applyFill="1" applyAlignment="1">
      <alignment horizontal="center"/>
    </xf>
    <xf numFmtId="173" fontId="21" fillId="4" borderId="0" xfId="0" applyNumberFormat="1" applyFont="1" applyFill="1" applyAlignment="1">
      <alignment horizontal="center" vertical="center"/>
    </xf>
    <xf numFmtId="179" fontId="0" fillId="3" borderId="0" xfId="0" applyNumberFormat="1" applyFill="1"/>
    <xf numFmtId="177" fontId="0" fillId="3" borderId="0" xfId="0" applyNumberFormat="1" applyFill="1"/>
    <xf numFmtId="176" fontId="0" fillId="3" borderId="0" xfId="0" applyNumberFormat="1" applyFill="1"/>
    <xf numFmtId="0" fontId="0" fillId="3" borderId="2" xfId="0" applyFill="1" applyBorder="1" applyAlignment="1">
      <alignment vertical="center"/>
    </xf>
    <xf numFmtId="0" fontId="8" fillId="3" borderId="0" xfId="0" applyFont="1" applyFill="1" applyAlignment="1">
      <alignment horizontal="center" vertical="center" wrapText="1"/>
    </xf>
    <xf numFmtId="0" fontId="8" fillId="3" borderId="0" xfId="0" applyFont="1" applyFill="1" applyAlignment="1">
      <alignment vertical="center" wrapText="1"/>
    </xf>
    <xf numFmtId="0" fontId="8" fillId="3" borderId="0" xfId="0" applyFont="1" applyFill="1" applyAlignment="1">
      <alignment horizontal="center" vertical="center"/>
    </xf>
    <xf numFmtId="0" fontId="8" fillId="3" borderId="0" xfId="0" applyFont="1" applyFill="1" applyAlignment="1">
      <alignment vertical="center"/>
    </xf>
    <xf numFmtId="0" fontId="8" fillId="3" borderId="8" xfId="0" applyFont="1" applyFill="1" applyBorder="1" applyAlignment="1">
      <alignment vertical="center" wrapText="1"/>
    </xf>
    <xf numFmtId="0" fontId="31" fillId="3" borderId="0" xfId="0" applyFont="1" applyFill="1" applyAlignment="1">
      <alignment horizontal="left" vertical="center"/>
    </xf>
    <xf numFmtId="0" fontId="32" fillId="3" borderId="0" xfId="0" applyFont="1" applyFill="1"/>
    <xf numFmtId="164" fontId="18" fillId="3" borderId="0" xfId="0" applyNumberFormat="1" applyFont="1" applyFill="1" applyAlignment="1">
      <alignment horizontal="right"/>
    </xf>
    <xf numFmtId="164" fontId="3" fillId="3" borderId="0" xfId="0" applyNumberFormat="1" applyFont="1" applyFill="1" applyAlignment="1">
      <alignment horizontal="right"/>
    </xf>
    <xf numFmtId="164" fontId="3" fillId="3" borderId="0" xfId="0" applyNumberFormat="1" applyFont="1" applyFill="1" applyAlignment="1">
      <alignment horizontal="right" vertical="center"/>
    </xf>
    <xf numFmtId="178" fontId="3" fillId="3" borderId="0" xfId="0" applyNumberFormat="1" applyFont="1" applyFill="1" applyAlignment="1">
      <alignment horizontal="right" vertical="center"/>
    </xf>
    <xf numFmtId="177" fontId="3" fillId="3" borderId="0" xfId="0" applyNumberFormat="1" applyFont="1" applyFill="1" applyAlignment="1">
      <alignment horizontal="right" vertical="center"/>
    </xf>
    <xf numFmtId="0" fontId="0" fillId="3" borderId="0" xfId="0" applyFill="1" applyAlignment="1">
      <alignment horizontal="right" vertical="center"/>
    </xf>
    <xf numFmtId="171" fontId="0" fillId="3" borderId="0" xfId="0" applyNumberFormat="1" applyFill="1" applyAlignment="1">
      <alignment horizontal="right" vertical="center"/>
    </xf>
    <xf numFmtId="169" fontId="8" fillId="3" borderId="0" xfId="0" applyNumberFormat="1" applyFont="1" applyFill="1" applyAlignment="1">
      <alignment horizontal="right" vertical="center" wrapText="1"/>
    </xf>
    <xf numFmtId="0" fontId="48" fillId="3" borderId="0" xfId="0" applyFont="1" applyFill="1" applyAlignment="1">
      <alignment horizontal="right" vertical="center"/>
    </xf>
    <xf numFmtId="176" fontId="13" fillId="3" borderId="0" xfId="0" applyNumberFormat="1" applyFont="1" applyFill="1" applyAlignment="1">
      <alignment horizontal="right" vertical="center"/>
    </xf>
    <xf numFmtId="173" fontId="13" fillId="3" borderId="0" xfId="0" applyNumberFormat="1" applyFont="1" applyFill="1" applyAlignment="1">
      <alignment horizontal="right" vertical="center"/>
    </xf>
    <xf numFmtId="164" fontId="7" fillId="3" borderId="0" xfId="0" applyNumberFormat="1" applyFont="1" applyFill="1" applyAlignment="1">
      <alignment horizontal="right"/>
    </xf>
    <xf numFmtId="164" fontId="30" fillId="3" borderId="0" xfId="0" applyNumberFormat="1" applyFont="1" applyFill="1" applyAlignment="1">
      <alignment horizontal="right"/>
    </xf>
    <xf numFmtId="166" fontId="3" fillId="3" borderId="0" xfId="0" applyNumberFormat="1" applyFont="1" applyFill="1" applyAlignment="1">
      <alignment horizontal="right" vertical="center"/>
    </xf>
    <xf numFmtId="9" fontId="3" fillId="3" borderId="0" xfId="0" applyNumberFormat="1" applyFont="1" applyFill="1" applyAlignment="1">
      <alignment horizontal="right" vertical="center"/>
    </xf>
    <xf numFmtId="170" fontId="3" fillId="3" borderId="0" xfId="0" applyNumberFormat="1" applyFont="1" applyFill="1" applyAlignment="1">
      <alignment horizontal="right" vertical="center"/>
    </xf>
    <xf numFmtId="175" fontId="3" fillId="3" borderId="0" xfId="0" applyNumberFormat="1" applyFont="1" applyFill="1" applyAlignment="1">
      <alignment horizontal="right" vertical="center"/>
    </xf>
    <xf numFmtId="164" fontId="49" fillId="9" borderId="0" xfId="1713" applyNumberFormat="1" applyAlignment="1" applyProtection="1">
      <alignment vertical="center"/>
    </xf>
    <xf numFmtId="177" fontId="49" fillId="9" borderId="0" xfId="1713" applyNumberFormat="1" applyAlignment="1" applyProtection="1">
      <alignment vertical="center"/>
    </xf>
    <xf numFmtId="178" fontId="49" fillId="9" borderId="0" xfId="1713" applyNumberFormat="1" applyAlignment="1" applyProtection="1">
      <alignment vertical="center"/>
    </xf>
    <xf numFmtId="0" fontId="50" fillId="10" borderId="0" xfId="1714" applyAlignment="1" applyProtection="1">
      <alignment vertical="center"/>
    </xf>
    <xf numFmtId="164" fontId="34" fillId="8" borderId="22" xfId="0" applyNumberFormat="1" applyFont="1" applyFill="1" applyBorder="1" applyAlignment="1" applyProtection="1">
      <alignment horizontal="center" vertical="center"/>
      <protection locked="0"/>
    </xf>
    <xf numFmtId="164" fontId="33" fillId="7" borderId="23" xfId="0" applyNumberFormat="1" applyFont="1" applyFill="1" applyBorder="1" applyAlignment="1" applyProtection="1">
      <alignment horizontal="center" vertical="center"/>
      <protection locked="0"/>
    </xf>
    <xf numFmtId="167" fontId="34" fillId="8" borderId="23" xfId="0" applyNumberFormat="1" applyFont="1" applyFill="1" applyBorder="1" applyAlignment="1" applyProtection="1">
      <alignment horizontal="center" vertical="center"/>
      <protection locked="0"/>
    </xf>
    <xf numFmtId="0" fontId="33" fillId="7" borderId="23" xfId="0" applyFont="1" applyFill="1" applyBorder="1" applyAlignment="1" applyProtection="1">
      <alignment horizontal="center" vertical="center"/>
      <protection locked="0"/>
    </xf>
    <xf numFmtId="0" fontId="34" fillId="8" borderId="23" xfId="0" applyFont="1" applyFill="1" applyBorder="1" applyAlignment="1" applyProtection="1">
      <alignment horizontal="center" vertical="center"/>
      <protection locked="0"/>
    </xf>
    <xf numFmtId="169" fontId="32" fillId="3" borderId="23" xfId="0" applyNumberFormat="1" applyFont="1" applyFill="1" applyBorder="1" applyAlignment="1" applyProtection="1">
      <alignment horizontal="center" vertical="center"/>
      <protection locked="0"/>
    </xf>
    <xf numFmtId="168" fontId="33" fillId="7" borderId="24" xfId="0" applyNumberFormat="1" applyFont="1" applyFill="1" applyBorder="1" applyAlignment="1" applyProtection="1">
      <alignment horizontal="center" vertical="center"/>
      <protection locked="0"/>
    </xf>
    <xf numFmtId="2" fontId="0" fillId="3" borderId="0" xfId="0" applyNumberFormat="1" applyFill="1" applyAlignment="1">
      <alignment horizontal="center" vertical="center"/>
    </xf>
    <xf numFmtId="0" fontId="0" fillId="3" borderId="9" xfId="0" applyFill="1" applyBorder="1" applyAlignment="1">
      <alignment vertical="center"/>
    </xf>
    <xf numFmtId="0" fontId="0" fillId="3" borderId="10" xfId="0" applyFill="1" applyBorder="1" applyAlignment="1">
      <alignment horizontal="right" vertical="center"/>
    </xf>
    <xf numFmtId="0" fontId="0" fillId="3" borderId="9" xfId="0" applyFill="1" applyBorder="1" applyAlignment="1">
      <alignment horizontal="right" vertical="center"/>
    </xf>
    <xf numFmtId="0" fontId="0" fillId="3" borderId="21" xfId="0" applyFill="1" applyBorder="1" applyAlignment="1">
      <alignment horizontal="right" vertical="center"/>
    </xf>
    <xf numFmtId="0" fontId="0" fillId="3" borderId="25" xfId="0" applyFill="1" applyBorder="1" applyAlignment="1">
      <alignment horizontal="right" vertical="center"/>
    </xf>
    <xf numFmtId="1" fontId="3" fillId="3" borderId="0" xfId="0" applyNumberFormat="1" applyFont="1" applyFill="1" applyAlignment="1">
      <alignment vertical="center"/>
    </xf>
    <xf numFmtId="0" fontId="0" fillId="3" borderId="20" xfId="0" applyFill="1" applyBorder="1" applyAlignment="1">
      <alignment horizontal="center" vertical="center" wrapText="1"/>
    </xf>
    <xf numFmtId="0" fontId="0" fillId="3" borderId="14" xfId="0" applyFill="1" applyBorder="1" applyAlignment="1">
      <alignment vertical="center"/>
    </xf>
    <xf numFmtId="2" fontId="0" fillId="3" borderId="9" xfId="0" applyNumberFormat="1" applyFill="1" applyBorder="1" applyAlignment="1">
      <alignment horizontal="center" vertical="center"/>
    </xf>
    <xf numFmtId="168" fontId="21" fillId="3" borderId="27" xfId="0" applyNumberFormat="1" applyFont="1" applyFill="1" applyBorder="1" applyAlignment="1">
      <alignment horizontal="center" vertical="center"/>
    </xf>
    <xf numFmtId="168" fontId="3" fillId="3" borderId="27" xfId="0" applyNumberFormat="1" applyFont="1" applyFill="1" applyBorder="1" applyAlignment="1">
      <alignment horizontal="center" vertical="center"/>
    </xf>
    <xf numFmtId="169" fontId="3" fillId="3" borderId="27" xfId="0" applyNumberFormat="1" applyFont="1" applyFill="1" applyBorder="1" applyAlignment="1">
      <alignment horizontal="center" vertical="center"/>
    </xf>
    <xf numFmtId="2" fontId="0" fillId="3" borderId="25" xfId="0" applyNumberFormat="1" applyFill="1" applyBorder="1" applyAlignment="1">
      <alignment horizontal="center" vertical="center"/>
    </xf>
    <xf numFmtId="0" fontId="0" fillId="3" borderId="17" xfId="0" applyFill="1" applyBorder="1" applyAlignment="1">
      <alignment vertical="center"/>
    </xf>
    <xf numFmtId="0" fontId="3" fillId="3" borderId="28" xfId="0" applyFont="1" applyFill="1" applyBorder="1" applyAlignment="1">
      <alignment vertical="center"/>
    </xf>
    <xf numFmtId="0" fontId="0" fillId="3" borderId="28" xfId="0" applyFill="1" applyBorder="1" applyAlignment="1">
      <alignment vertical="center"/>
    </xf>
    <xf numFmtId="0" fontId="0" fillId="3" borderId="15" xfId="0" applyFill="1" applyBorder="1" applyAlignment="1">
      <alignment vertical="center"/>
    </xf>
    <xf numFmtId="0" fontId="3" fillId="3" borderId="17" xfId="0" applyFont="1" applyFill="1" applyBorder="1" applyAlignment="1">
      <alignment vertical="center"/>
    </xf>
    <xf numFmtId="2" fontId="4" fillId="3" borderId="0" xfId="0" applyNumberFormat="1" applyFont="1" applyFill="1" applyAlignment="1">
      <alignment horizontal="left" vertical="center"/>
    </xf>
    <xf numFmtId="0" fontId="8" fillId="3" borderId="0" xfId="0" applyFont="1" applyFill="1" applyAlignment="1">
      <alignment horizontal="left" vertical="center"/>
    </xf>
    <xf numFmtId="0" fontId="3" fillId="3" borderId="1" xfId="0" applyFont="1" applyFill="1" applyBorder="1" applyAlignment="1" applyProtection="1">
      <alignment vertical="center"/>
      <protection hidden="1"/>
    </xf>
    <xf numFmtId="0" fontId="0" fillId="3" borderId="0" xfId="0" applyFill="1" applyAlignment="1" applyProtection="1">
      <alignment vertical="center"/>
      <protection hidden="1"/>
    </xf>
    <xf numFmtId="166" fontId="3" fillId="3" borderId="0" xfId="0" applyNumberFormat="1" applyFont="1" applyFill="1" applyAlignment="1" applyProtection="1">
      <alignment vertical="center"/>
      <protection hidden="1"/>
    </xf>
    <xf numFmtId="0" fontId="0" fillId="3" borderId="10" xfId="0" applyFill="1" applyBorder="1" applyAlignment="1" applyProtection="1">
      <alignment horizontal="right" vertical="center"/>
      <protection hidden="1"/>
    </xf>
    <xf numFmtId="0" fontId="0" fillId="3" borderId="9" xfId="0" applyFill="1" applyBorder="1" applyAlignment="1" applyProtection="1">
      <alignment horizontal="right" vertical="center"/>
      <protection hidden="1"/>
    </xf>
    <xf numFmtId="0" fontId="0" fillId="3" borderId="3" xfId="0" applyFill="1" applyBorder="1" applyAlignment="1" applyProtection="1">
      <alignment vertical="center"/>
      <protection hidden="1"/>
    </xf>
    <xf numFmtId="0" fontId="3" fillId="3" borderId="9" xfId="0" applyFont="1" applyFill="1" applyBorder="1" applyAlignment="1" applyProtection="1">
      <alignment horizontal="center" vertical="center"/>
      <protection hidden="1"/>
    </xf>
    <xf numFmtId="0" fontId="3" fillId="3" borderId="23" xfId="0" applyFont="1" applyFill="1" applyBorder="1" applyAlignment="1" applyProtection="1">
      <alignment vertical="center"/>
      <protection hidden="1"/>
    </xf>
    <xf numFmtId="171" fontId="0" fillId="3" borderId="0" xfId="0" applyNumberFormat="1" applyFill="1" applyAlignment="1" applyProtection="1">
      <alignment vertical="center"/>
      <protection hidden="1"/>
    </xf>
    <xf numFmtId="164" fontId="7" fillId="3" borderId="0" xfId="0" applyNumberFormat="1" applyFont="1" applyFill="1" applyAlignment="1" applyProtection="1">
      <alignment horizontal="center" vertical="center"/>
      <protection hidden="1"/>
    </xf>
    <xf numFmtId="164" fontId="7" fillId="3" borderId="9" xfId="0" applyNumberFormat="1" applyFont="1" applyFill="1" applyBorder="1" applyAlignment="1" applyProtection="1">
      <alignment horizontal="center" vertical="center"/>
      <protection hidden="1"/>
    </xf>
    <xf numFmtId="169" fontId="8" fillId="3" borderId="0" xfId="0" applyNumberFormat="1" applyFont="1" applyFill="1" applyAlignment="1" applyProtection="1">
      <alignment horizontal="center" vertical="center"/>
      <protection hidden="1"/>
    </xf>
    <xf numFmtId="169" fontId="8" fillId="3" borderId="23" xfId="0" applyNumberFormat="1" applyFont="1" applyFill="1" applyBorder="1" applyAlignment="1" applyProtection="1">
      <alignment horizontal="left" vertical="center"/>
      <protection hidden="1"/>
    </xf>
    <xf numFmtId="164" fontId="8" fillId="3" borderId="0" xfId="0" applyNumberFormat="1" applyFont="1" applyFill="1" applyAlignment="1" applyProtection="1">
      <alignment horizontal="center" vertical="center"/>
      <protection hidden="1"/>
    </xf>
    <xf numFmtId="164" fontId="8" fillId="3" borderId="9" xfId="0" applyNumberFormat="1" applyFont="1" applyFill="1" applyBorder="1" applyAlignment="1" applyProtection="1">
      <alignment horizontal="center" vertical="center"/>
      <protection hidden="1"/>
    </xf>
    <xf numFmtId="169" fontId="24" fillId="3" borderId="23" xfId="0" applyNumberFormat="1" applyFont="1" applyFill="1" applyBorder="1" applyAlignment="1" applyProtection="1">
      <alignment vertical="center"/>
      <protection hidden="1"/>
    </xf>
    <xf numFmtId="164" fontId="3" fillId="3" borderId="0" xfId="0" applyNumberFormat="1" applyFont="1" applyFill="1" applyAlignment="1" applyProtection="1">
      <alignment vertical="center"/>
      <protection hidden="1"/>
    </xf>
    <xf numFmtId="0" fontId="3" fillId="3" borderId="0" xfId="0" applyFont="1" applyFill="1" applyAlignment="1" applyProtection="1">
      <alignment vertical="center"/>
      <protection hidden="1"/>
    </xf>
    <xf numFmtId="164" fontId="0" fillId="3" borderId="0" xfId="0" applyNumberFormat="1" applyFill="1" applyAlignment="1" applyProtection="1">
      <alignment vertical="center"/>
      <protection hidden="1"/>
    </xf>
    <xf numFmtId="177" fontId="8" fillId="3" borderId="0" xfId="0" applyNumberFormat="1" applyFont="1" applyFill="1" applyAlignment="1" applyProtection="1">
      <alignment horizontal="center" vertical="center"/>
      <protection hidden="1"/>
    </xf>
    <xf numFmtId="177" fontId="8" fillId="3" borderId="9" xfId="0" applyNumberFormat="1" applyFont="1" applyFill="1" applyBorder="1" applyAlignment="1" applyProtection="1">
      <alignment horizontal="center" vertical="center"/>
      <protection hidden="1"/>
    </xf>
    <xf numFmtId="2" fontId="3" fillId="3" borderId="0" xfId="0" applyNumberFormat="1" applyFont="1" applyFill="1" applyAlignment="1" applyProtection="1">
      <alignment vertical="center"/>
      <protection hidden="1"/>
    </xf>
    <xf numFmtId="0" fontId="0" fillId="3" borderId="21" xfId="0" applyFill="1" applyBorder="1" applyAlignment="1" applyProtection="1">
      <alignment horizontal="right" vertical="center"/>
      <protection hidden="1"/>
    </xf>
    <xf numFmtId="0" fontId="0" fillId="3" borderId="25" xfId="0" applyFill="1" applyBorder="1" applyAlignment="1" applyProtection="1">
      <alignment horizontal="right" vertical="center"/>
      <protection hidden="1"/>
    </xf>
    <xf numFmtId="178" fontId="8" fillId="3" borderId="0" xfId="0" applyNumberFormat="1" applyFont="1" applyFill="1" applyAlignment="1" applyProtection="1">
      <alignment horizontal="center" vertical="center"/>
      <protection hidden="1"/>
    </xf>
    <xf numFmtId="178" fontId="8" fillId="3" borderId="9" xfId="0" applyNumberFormat="1" applyFont="1" applyFill="1" applyBorder="1" applyAlignment="1" applyProtection="1">
      <alignment horizontal="center" vertical="center"/>
      <protection hidden="1"/>
    </xf>
    <xf numFmtId="167" fontId="8" fillId="3" borderId="0" xfId="0" applyNumberFormat="1" applyFont="1" applyFill="1" applyAlignment="1" applyProtection="1">
      <alignment horizontal="center" vertical="center"/>
      <protection hidden="1"/>
    </xf>
    <xf numFmtId="167" fontId="8" fillId="3" borderId="9" xfId="0" applyNumberFormat="1" applyFont="1" applyFill="1" applyBorder="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23" xfId="0" applyFill="1" applyBorder="1" applyAlignment="1" applyProtection="1">
      <alignment horizontal="left" vertical="center"/>
      <protection hidden="1"/>
    </xf>
    <xf numFmtId="175" fontId="3" fillId="3" borderId="0" xfId="0" applyNumberFormat="1" applyFont="1" applyFill="1" applyAlignment="1" applyProtection="1">
      <alignment vertical="center"/>
      <protection hidden="1"/>
    </xf>
    <xf numFmtId="0" fontId="0" fillId="3" borderId="5" xfId="0" applyFill="1" applyBorder="1" applyAlignment="1" applyProtection="1">
      <alignment vertical="center"/>
      <protection hidden="1"/>
    </xf>
    <xf numFmtId="167" fontId="8" fillId="3" borderId="8" xfId="0" applyNumberFormat="1" applyFont="1" applyFill="1" applyBorder="1" applyAlignment="1" applyProtection="1">
      <alignment horizontal="center" vertical="center"/>
      <protection hidden="1"/>
    </xf>
    <xf numFmtId="167" fontId="8" fillId="3" borderId="29" xfId="0" applyNumberFormat="1" applyFont="1" applyFill="1" applyBorder="1" applyAlignment="1" applyProtection="1">
      <alignment horizontal="center" vertical="center"/>
      <protection hidden="1"/>
    </xf>
    <xf numFmtId="0" fontId="26" fillId="3" borderId="8" xfId="0" applyFont="1" applyFill="1" applyBorder="1" applyAlignment="1" applyProtection="1">
      <alignment vertical="center" wrapText="1"/>
      <protection hidden="1"/>
    </xf>
    <xf numFmtId="0" fontId="16" fillId="3" borderId="24" xfId="0" applyFont="1" applyFill="1" applyBorder="1" applyAlignment="1" applyProtection="1">
      <alignment vertical="top" wrapText="1"/>
      <protection hidden="1"/>
    </xf>
    <xf numFmtId="0" fontId="8" fillId="3" borderId="8" xfId="0" applyFont="1" applyFill="1" applyBorder="1" applyAlignment="1" applyProtection="1">
      <alignment vertical="center" wrapText="1"/>
      <protection hidden="1"/>
    </xf>
    <xf numFmtId="176" fontId="13" fillId="3" borderId="0" xfId="0" applyNumberFormat="1" applyFont="1" applyFill="1" applyAlignment="1" applyProtection="1">
      <alignment vertical="center"/>
      <protection hidden="1"/>
    </xf>
    <xf numFmtId="176" fontId="18" fillId="3" borderId="0" xfId="0" applyNumberFormat="1" applyFont="1" applyFill="1" applyAlignment="1" applyProtection="1">
      <alignment vertical="center"/>
      <protection hidden="1"/>
    </xf>
    <xf numFmtId="0" fontId="26" fillId="3" borderId="0" xfId="0" applyFont="1" applyFill="1" applyAlignment="1" applyProtection="1">
      <alignment vertical="center" wrapText="1"/>
      <protection hidden="1"/>
    </xf>
    <xf numFmtId="0" fontId="16" fillId="3" borderId="23" xfId="0" applyFont="1" applyFill="1" applyBorder="1" applyAlignment="1" applyProtection="1">
      <alignment vertical="top" wrapText="1"/>
      <protection hidden="1"/>
    </xf>
    <xf numFmtId="0" fontId="8" fillId="3" borderId="0" xfId="0" applyFont="1" applyFill="1" applyAlignment="1" applyProtection="1">
      <alignment vertical="center" wrapText="1"/>
      <protection hidden="1"/>
    </xf>
    <xf numFmtId="169" fontId="8" fillId="3" borderId="9" xfId="0" applyNumberFormat="1" applyFont="1" applyFill="1" applyBorder="1" applyAlignment="1" applyProtection="1">
      <alignment horizontal="center" vertical="center"/>
      <protection hidden="1"/>
    </xf>
    <xf numFmtId="0" fontId="9" fillId="3" borderId="0" xfId="0" applyFont="1" applyFill="1" applyAlignment="1" applyProtection="1">
      <alignment vertical="center"/>
      <protection hidden="1"/>
    </xf>
    <xf numFmtId="0" fontId="0" fillId="3" borderId="9" xfId="0" applyFill="1" applyBorder="1" applyAlignment="1" applyProtection="1">
      <alignment vertical="center"/>
      <protection hidden="1"/>
    </xf>
    <xf numFmtId="164" fontId="15" fillId="3" borderId="0" xfId="0" applyNumberFormat="1" applyFont="1" applyFill="1" applyAlignment="1" applyProtection="1">
      <alignment horizontal="center" vertical="center"/>
      <protection hidden="1"/>
    </xf>
    <xf numFmtId="164" fontId="15" fillId="3" borderId="9" xfId="0" applyNumberFormat="1" applyFont="1" applyFill="1" applyBorder="1" applyAlignment="1" applyProtection="1">
      <alignment horizontal="center" vertical="center"/>
      <protection hidden="1"/>
    </xf>
    <xf numFmtId="2" fontId="8" fillId="3" borderId="0" xfId="0" applyNumberFormat="1" applyFont="1" applyFill="1" applyAlignment="1" applyProtection="1">
      <alignment horizontal="center" vertical="center"/>
      <protection hidden="1"/>
    </xf>
    <xf numFmtId="2" fontId="8" fillId="3" borderId="9" xfId="0" applyNumberFormat="1" applyFont="1" applyFill="1" applyBorder="1" applyAlignment="1" applyProtection="1">
      <alignment horizontal="center" vertical="center"/>
      <protection hidden="1"/>
    </xf>
    <xf numFmtId="0" fontId="10" fillId="3" borderId="0" xfId="0" applyFont="1" applyFill="1" applyAlignment="1" applyProtection="1">
      <alignment vertical="center"/>
      <protection hidden="1"/>
    </xf>
    <xf numFmtId="164" fontId="0" fillId="3" borderId="0" xfId="0" applyNumberFormat="1" applyFill="1" applyAlignment="1" applyProtection="1">
      <alignment horizontal="center" vertical="center"/>
      <protection hidden="1"/>
    </xf>
    <xf numFmtId="164" fontId="0" fillId="3" borderId="23" xfId="0" applyNumberFormat="1" applyFill="1" applyBorder="1" applyAlignment="1" applyProtection="1">
      <alignment horizontal="left" vertical="center"/>
      <protection hidden="1"/>
    </xf>
    <xf numFmtId="2" fontId="8" fillId="3" borderId="23" xfId="0" applyNumberFormat="1" applyFont="1" applyFill="1" applyBorder="1" applyAlignment="1" applyProtection="1">
      <alignment horizontal="left" vertical="center"/>
      <protection hidden="1"/>
    </xf>
    <xf numFmtId="0" fontId="50" fillId="10" borderId="0" xfId="1714" applyAlignment="1" applyProtection="1">
      <alignment vertical="center"/>
      <protection hidden="1"/>
    </xf>
    <xf numFmtId="178" fontId="50" fillId="10" borderId="0" xfId="1714" applyNumberFormat="1" applyBorder="1" applyAlignment="1" applyProtection="1">
      <alignment horizontal="center" vertical="center"/>
      <protection hidden="1"/>
    </xf>
    <xf numFmtId="178" fontId="50" fillId="10" borderId="9" xfId="1714" applyNumberFormat="1" applyBorder="1" applyAlignment="1" applyProtection="1">
      <alignment horizontal="center" vertical="center"/>
      <protection hidden="1"/>
    </xf>
    <xf numFmtId="0" fontId="50" fillId="10" borderId="0" xfId="1714" applyAlignment="1" applyProtection="1">
      <alignment horizontal="center" vertical="center"/>
      <protection hidden="1"/>
    </xf>
    <xf numFmtId="2" fontId="50" fillId="10" borderId="0" xfId="1714" applyNumberFormat="1" applyAlignment="1" applyProtection="1">
      <alignment horizontal="center" vertical="center"/>
      <protection hidden="1"/>
    </xf>
    <xf numFmtId="2" fontId="50" fillId="10" borderId="23" xfId="1714" applyNumberFormat="1" applyBorder="1" applyAlignment="1" applyProtection="1">
      <alignment horizontal="left" vertical="center"/>
      <protection hidden="1"/>
    </xf>
    <xf numFmtId="0" fontId="0" fillId="3" borderId="0" xfId="0" applyFill="1" applyProtection="1">
      <protection hidden="1"/>
    </xf>
    <xf numFmtId="0" fontId="0" fillId="3" borderId="9" xfId="0" applyFill="1" applyBorder="1" applyProtection="1">
      <protection hidden="1"/>
    </xf>
    <xf numFmtId="0" fontId="0" fillId="3" borderId="0" xfId="0" applyFill="1" applyAlignment="1" applyProtection="1">
      <alignment horizontal="center"/>
      <protection hidden="1"/>
    </xf>
    <xf numFmtId="0" fontId="0" fillId="3" borderId="23" xfId="0" applyFill="1" applyBorder="1" applyProtection="1">
      <protection hidden="1"/>
    </xf>
    <xf numFmtId="164" fontId="13" fillId="3" borderId="7" xfId="0" applyNumberFormat="1" applyFont="1" applyFill="1" applyBorder="1" applyAlignment="1" applyProtection="1">
      <alignment horizontal="center" vertical="center"/>
      <protection hidden="1"/>
    </xf>
    <xf numFmtId="0" fontId="13" fillId="3" borderId="7" xfId="0" applyFont="1" applyFill="1" applyBorder="1" applyAlignment="1" applyProtection="1">
      <alignment horizontal="center" vertical="center"/>
      <protection hidden="1"/>
    </xf>
    <xf numFmtId="0" fontId="0" fillId="3" borderId="22" xfId="0" applyFill="1" applyBorder="1" applyAlignment="1" applyProtection="1">
      <alignment horizontal="left" vertical="center"/>
      <protection hidden="1"/>
    </xf>
    <xf numFmtId="1" fontId="3" fillId="3" borderId="0" xfId="0" applyNumberFormat="1" applyFont="1" applyFill="1" applyAlignment="1" applyProtection="1">
      <alignment vertical="center"/>
      <protection hidden="1"/>
    </xf>
    <xf numFmtId="0" fontId="0" fillId="2" borderId="3" xfId="0" applyFill="1" applyBorder="1" applyAlignment="1" applyProtection="1">
      <alignment vertical="center"/>
      <protection hidden="1"/>
    </xf>
    <xf numFmtId="164" fontId="23" fillId="3" borderId="0" xfId="0" applyNumberFormat="1" applyFont="1" applyFill="1" applyAlignment="1" applyProtection="1">
      <alignment horizontal="center" vertical="center"/>
      <protection hidden="1"/>
    </xf>
    <xf numFmtId="164" fontId="23" fillId="3" borderId="9" xfId="0" applyNumberFormat="1" applyFont="1" applyFill="1" applyBorder="1" applyAlignment="1" applyProtection="1">
      <alignment horizontal="center" vertical="center"/>
      <protection hidden="1"/>
    </xf>
    <xf numFmtId="166" fontId="8" fillId="3" borderId="0" xfId="0" applyNumberFormat="1" applyFont="1" applyFill="1" applyAlignment="1" applyProtection="1">
      <alignment horizontal="center" vertical="center"/>
      <protection hidden="1"/>
    </xf>
    <xf numFmtId="164" fontId="4" fillId="3" borderId="0" xfId="0" applyNumberFormat="1" applyFont="1" applyFill="1" applyAlignment="1" applyProtection="1">
      <alignment horizontal="center" vertical="center"/>
      <protection hidden="1"/>
    </xf>
    <xf numFmtId="164" fontId="4" fillId="3" borderId="23" xfId="0" applyNumberFormat="1" applyFont="1" applyFill="1" applyBorder="1" applyAlignment="1" applyProtection="1">
      <alignment horizontal="left" vertical="center"/>
      <protection hidden="1"/>
    </xf>
    <xf numFmtId="170" fontId="8" fillId="3" borderId="0" xfId="0" applyNumberFormat="1" applyFont="1" applyFill="1" applyAlignment="1" applyProtection="1">
      <alignment horizontal="center" vertical="center"/>
      <protection hidden="1"/>
    </xf>
    <xf numFmtId="170" fontId="8" fillId="3" borderId="9" xfId="0" applyNumberFormat="1" applyFont="1" applyFill="1" applyBorder="1" applyAlignment="1" applyProtection="1">
      <alignment horizontal="center" vertical="center"/>
      <protection hidden="1"/>
    </xf>
    <xf numFmtId="0" fontId="3" fillId="6" borderId="3" xfId="0" applyFont="1" applyFill="1" applyBorder="1" applyAlignment="1" applyProtection="1">
      <alignment vertical="center"/>
      <protection hidden="1"/>
    </xf>
    <xf numFmtId="164" fontId="21" fillId="3" borderId="23" xfId="0" applyNumberFormat="1" applyFont="1" applyFill="1" applyBorder="1" applyAlignment="1" applyProtection="1">
      <alignment horizontal="left" vertical="center"/>
      <protection hidden="1"/>
    </xf>
    <xf numFmtId="0" fontId="29" fillId="3" borderId="3" xfId="0" applyFont="1" applyFill="1" applyBorder="1" applyAlignment="1" applyProtection="1">
      <alignment vertical="center"/>
      <protection hidden="1"/>
    </xf>
    <xf numFmtId="0" fontId="29" fillId="3" borderId="3" xfId="0" applyFont="1" applyFill="1" applyBorder="1" applyAlignment="1" applyProtection="1">
      <alignment horizontal="left" vertical="center" wrapText="1"/>
      <protection hidden="1"/>
    </xf>
    <xf numFmtId="178" fontId="7" fillId="3" borderId="0" xfId="0" applyNumberFormat="1" applyFont="1" applyFill="1" applyAlignment="1" applyProtection="1">
      <alignment horizontal="center" vertical="center"/>
      <protection hidden="1"/>
    </xf>
    <xf numFmtId="178" fontId="7" fillId="3" borderId="9" xfId="0" applyNumberFormat="1" applyFont="1" applyFill="1" applyBorder="1" applyAlignment="1" applyProtection="1">
      <alignment horizontal="center" vertical="center"/>
      <protection hidden="1"/>
    </xf>
    <xf numFmtId="2" fontId="4" fillId="3" borderId="0" xfId="0" applyNumberFormat="1" applyFont="1" applyFill="1" applyAlignment="1" applyProtection="1">
      <alignment horizontal="center" vertical="center"/>
      <protection hidden="1"/>
    </xf>
    <xf numFmtId="2" fontId="4" fillId="3" borderId="23" xfId="0" applyNumberFormat="1" applyFont="1" applyFill="1" applyBorder="1" applyAlignment="1" applyProtection="1">
      <alignment horizontal="left" vertical="center"/>
      <protection hidden="1"/>
    </xf>
    <xf numFmtId="165" fontId="7" fillId="3" borderId="0" xfId="0" applyNumberFormat="1" applyFont="1" applyFill="1" applyAlignment="1" applyProtection="1">
      <alignment horizontal="center" vertical="center"/>
      <protection hidden="1"/>
    </xf>
    <xf numFmtId="165" fontId="7" fillId="3" borderId="9" xfId="0" applyNumberFormat="1" applyFont="1" applyFill="1" applyBorder="1" applyAlignment="1" applyProtection="1">
      <alignment horizontal="center" vertical="center"/>
      <protection hidden="1"/>
    </xf>
    <xf numFmtId="0" fontId="8" fillId="3" borderId="23" xfId="0" applyFont="1" applyFill="1" applyBorder="1" applyAlignment="1" applyProtection="1">
      <alignment horizontal="left" vertical="center"/>
      <protection hidden="1"/>
    </xf>
    <xf numFmtId="0" fontId="27" fillId="3" borderId="3" xfId="0" applyFont="1" applyFill="1" applyBorder="1" applyAlignment="1" applyProtection="1">
      <alignment vertical="center"/>
      <protection hidden="1"/>
    </xf>
    <xf numFmtId="172" fontId="7" fillId="3" borderId="0" xfId="0" applyNumberFormat="1" applyFont="1" applyFill="1" applyAlignment="1" applyProtection="1">
      <alignment horizontal="center" vertical="center"/>
      <protection hidden="1"/>
    </xf>
    <xf numFmtId="172" fontId="7" fillId="3" borderId="9" xfId="0" applyNumberFormat="1" applyFont="1" applyFill="1" applyBorder="1" applyAlignment="1" applyProtection="1">
      <alignment horizontal="center" vertical="center"/>
      <protection hidden="1"/>
    </xf>
    <xf numFmtId="177" fontId="7" fillId="3" borderId="0" xfId="0" applyNumberFormat="1" applyFont="1" applyFill="1" applyAlignment="1" applyProtection="1">
      <alignment horizontal="center" vertical="center"/>
      <protection hidden="1"/>
    </xf>
    <xf numFmtId="177" fontId="7" fillId="3" borderId="9" xfId="0" applyNumberFormat="1" applyFont="1" applyFill="1" applyBorder="1" applyAlignment="1" applyProtection="1">
      <alignment horizontal="center" vertical="center"/>
      <protection hidden="1"/>
    </xf>
    <xf numFmtId="0" fontId="50" fillId="10" borderId="3" xfId="1714" applyBorder="1" applyAlignment="1" applyProtection="1">
      <alignment vertical="center"/>
      <protection hidden="1"/>
    </xf>
    <xf numFmtId="169" fontId="50" fillId="10" borderId="0" xfId="1714" applyNumberFormat="1" applyBorder="1" applyAlignment="1" applyProtection="1">
      <alignment horizontal="center" vertical="center"/>
      <protection hidden="1"/>
    </xf>
    <xf numFmtId="0" fontId="0" fillId="3" borderId="23" xfId="0" applyFill="1" applyBorder="1" applyAlignment="1" applyProtection="1">
      <alignment vertical="center"/>
      <protection hidden="1"/>
    </xf>
    <xf numFmtId="0" fontId="1" fillId="0" borderId="0" xfId="1712" applyProtection="1">
      <protection hidden="1"/>
    </xf>
    <xf numFmtId="0" fontId="1" fillId="0" borderId="9" xfId="1712" applyBorder="1" applyProtection="1">
      <protection hidden="1"/>
    </xf>
    <xf numFmtId="168" fontId="8" fillId="3" borderId="0" xfId="0" applyNumberFormat="1" applyFont="1" applyFill="1" applyAlignment="1" applyProtection="1">
      <alignment horizontal="center" vertical="center"/>
      <protection hidden="1"/>
    </xf>
    <xf numFmtId="168" fontId="8" fillId="3" borderId="9" xfId="0" applyNumberFormat="1" applyFont="1" applyFill="1" applyBorder="1" applyAlignment="1" applyProtection="1">
      <alignment horizontal="center" vertical="center"/>
      <protection hidden="1"/>
    </xf>
    <xf numFmtId="0" fontId="3" fillId="3" borderId="3" xfId="0" applyFont="1" applyFill="1" applyBorder="1" applyAlignment="1" applyProtection="1">
      <alignment vertical="center"/>
      <protection hidden="1"/>
    </xf>
    <xf numFmtId="0" fontId="9" fillId="3" borderId="3" xfId="0" applyFont="1" applyFill="1" applyBorder="1" applyAlignment="1" applyProtection="1">
      <alignment vertical="center"/>
      <protection hidden="1"/>
    </xf>
    <xf numFmtId="171" fontId="8" fillId="3" borderId="0" xfId="0" applyNumberFormat="1" applyFont="1" applyFill="1" applyAlignment="1" applyProtection="1">
      <alignment horizontal="center" vertical="center"/>
      <protection hidden="1"/>
    </xf>
    <xf numFmtId="171" fontId="8" fillId="3" borderId="9" xfId="0" applyNumberFormat="1" applyFont="1" applyFill="1" applyBorder="1" applyAlignment="1" applyProtection="1">
      <alignment horizontal="center" vertical="center"/>
      <protection hidden="1"/>
    </xf>
    <xf numFmtId="173" fontId="8" fillId="3" borderId="0" xfId="0" applyNumberFormat="1" applyFont="1" applyFill="1" applyAlignment="1" applyProtection="1">
      <alignment horizontal="center" vertical="center"/>
      <protection hidden="1"/>
    </xf>
    <xf numFmtId="0" fontId="24" fillId="3" borderId="23" xfId="0" applyFont="1" applyFill="1" applyBorder="1" applyAlignment="1" applyProtection="1">
      <alignment vertical="center" wrapText="1"/>
      <protection hidden="1"/>
    </xf>
    <xf numFmtId="0" fontId="0" fillId="5" borderId="3" xfId="0" applyFill="1" applyBorder="1" applyAlignment="1" applyProtection="1">
      <alignment vertical="center"/>
      <protection hidden="1"/>
    </xf>
    <xf numFmtId="164" fontId="8" fillId="3" borderId="10" xfId="0" applyNumberFormat="1" applyFont="1" applyFill="1" applyBorder="1" applyAlignment="1" applyProtection="1">
      <alignment horizontal="center" vertical="center"/>
      <protection hidden="1"/>
    </xf>
    <xf numFmtId="0" fontId="0" fillId="3" borderId="8" xfId="0" applyFill="1" applyBorder="1" applyAlignment="1" applyProtection="1">
      <alignment vertical="center"/>
      <protection hidden="1"/>
    </xf>
    <xf numFmtId="174" fontId="8" fillId="3" borderId="11" xfId="0" applyNumberFormat="1" applyFont="1" applyFill="1" applyBorder="1" applyAlignment="1" applyProtection="1">
      <alignment horizontal="center" vertical="center"/>
      <protection hidden="1"/>
    </xf>
    <xf numFmtId="0" fontId="0" fillId="3" borderId="8" xfId="0" applyFill="1" applyBorder="1" applyAlignment="1" applyProtection="1">
      <alignment horizontal="center" vertical="center"/>
      <protection hidden="1"/>
    </xf>
    <xf numFmtId="0" fontId="0" fillId="3" borderId="24" xfId="0" applyFill="1" applyBorder="1" applyAlignment="1" applyProtection="1">
      <alignment horizontal="left" vertical="center"/>
      <protection hidden="1"/>
    </xf>
    <xf numFmtId="171" fontId="0" fillId="3" borderId="0" xfId="497" applyNumberFormat="1" applyFont="1" applyFill="1" applyAlignment="1" applyProtection="1">
      <alignment vertical="center"/>
      <protection hidden="1"/>
    </xf>
    <xf numFmtId="0" fontId="0" fillId="3" borderId="23" xfId="0" applyFill="1" applyBorder="1" applyAlignment="1" applyProtection="1">
      <alignment horizontal="left"/>
      <protection hidden="1"/>
    </xf>
    <xf numFmtId="175" fontId="21" fillId="3" borderId="0" xfId="0" applyNumberFormat="1" applyFont="1" applyFill="1" applyAlignment="1" applyProtection="1">
      <alignment horizontal="center"/>
      <protection hidden="1"/>
    </xf>
    <xf numFmtId="0" fontId="21" fillId="3" borderId="0" xfId="0" applyFont="1" applyFill="1" applyAlignment="1" applyProtection="1">
      <alignment horizontal="center"/>
      <protection hidden="1"/>
    </xf>
    <xf numFmtId="164" fontId="8" fillId="3" borderId="7" xfId="0" applyNumberFormat="1" applyFont="1" applyFill="1" applyBorder="1" applyAlignment="1" applyProtection="1">
      <alignment horizontal="center" vertical="center"/>
      <protection hidden="1"/>
    </xf>
    <xf numFmtId="164" fontId="8" fillId="3" borderId="2" xfId="0" applyNumberFormat="1" applyFont="1" applyFill="1" applyBorder="1" applyAlignment="1" applyProtection="1">
      <alignment horizontal="center" vertical="center"/>
      <protection hidden="1"/>
    </xf>
    <xf numFmtId="164" fontId="8" fillId="3" borderId="4" xfId="0" applyNumberFormat="1" applyFont="1" applyFill="1" applyBorder="1" applyAlignment="1" applyProtection="1">
      <alignment horizontal="center" vertical="center"/>
      <protection hidden="1"/>
    </xf>
    <xf numFmtId="172" fontId="7" fillId="3" borderId="4" xfId="0" applyNumberFormat="1" applyFont="1" applyFill="1" applyBorder="1" applyAlignment="1" applyProtection="1">
      <alignment horizontal="center" vertical="center"/>
      <protection hidden="1"/>
    </xf>
    <xf numFmtId="0" fontId="0" fillId="3" borderId="19" xfId="0" applyFill="1" applyBorder="1" applyAlignment="1" applyProtection="1">
      <alignment vertical="center"/>
      <protection hidden="1"/>
    </xf>
    <xf numFmtId="177" fontId="8" fillId="3" borderId="20" xfId="0" applyNumberFormat="1" applyFont="1" applyFill="1" applyBorder="1" applyAlignment="1" applyProtection="1">
      <alignment horizontal="center" vertical="center"/>
      <protection hidden="1"/>
    </xf>
    <xf numFmtId="177" fontId="8" fillId="3" borderId="26" xfId="0" applyNumberFormat="1" applyFont="1" applyFill="1" applyBorder="1" applyAlignment="1" applyProtection="1">
      <alignment horizontal="center" vertical="center"/>
      <protection hidden="1"/>
    </xf>
    <xf numFmtId="177" fontId="8" fillId="3" borderId="4" xfId="0" applyNumberFormat="1" applyFont="1" applyFill="1" applyBorder="1" applyAlignment="1" applyProtection="1">
      <alignment horizontal="center" vertical="center"/>
      <protection hidden="1"/>
    </xf>
    <xf numFmtId="0" fontId="29" fillId="2" borderId="3" xfId="0" applyFont="1" applyFill="1" applyBorder="1" applyAlignment="1" applyProtection="1">
      <alignment vertical="center"/>
      <protection hidden="1"/>
    </xf>
    <xf numFmtId="169" fontId="8" fillId="3" borderId="4" xfId="0" applyNumberFormat="1" applyFont="1" applyFill="1" applyBorder="1" applyAlignment="1" applyProtection="1">
      <alignment horizontal="center" vertical="center"/>
      <protection hidden="1"/>
    </xf>
    <xf numFmtId="0" fontId="29" fillId="2" borderId="3" xfId="0" applyFont="1" applyFill="1" applyBorder="1" applyAlignment="1" applyProtection="1">
      <alignment horizontal="left" vertical="center" wrapText="1"/>
      <protection hidden="1"/>
    </xf>
    <xf numFmtId="165" fontId="8" fillId="3" borderId="0" xfId="0" applyNumberFormat="1" applyFont="1" applyFill="1" applyAlignment="1" applyProtection="1">
      <alignment horizontal="center" vertical="center"/>
      <protection hidden="1"/>
    </xf>
    <xf numFmtId="165" fontId="8" fillId="3" borderId="4" xfId="0" applyNumberFormat="1" applyFont="1" applyFill="1" applyBorder="1" applyAlignment="1" applyProtection="1">
      <alignment horizontal="center" vertical="center"/>
      <protection hidden="1"/>
    </xf>
    <xf numFmtId="165" fontId="8" fillId="3" borderId="8" xfId="0" applyNumberFormat="1" applyFont="1" applyFill="1" applyBorder="1" applyAlignment="1" applyProtection="1">
      <alignment horizontal="center" vertical="center"/>
      <protection hidden="1"/>
    </xf>
    <xf numFmtId="165" fontId="8" fillId="3" borderId="6" xfId="0" applyNumberFormat="1" applyFont="1" applyFill="1" applyBorder="1" applyAlignment="1" applyProtection="1">
      <alignment horizontal="center" vertical="center"/>
      <protection hidden="1"/>
    </xf>
    <xf numFmtId="2" fontId="4" fillId="3" borderId="24" xfId="0" applyNumberFormat="1" applyFont="1" applyFill="1" applyBorder="1" applyAlignment="1" applyProtection="1">
      <alignment horizontal="left" vertical="center"/>
      <protection hidden="1"/>
    </xf>
    <xf numFmtId="0" fontId="27" fillId="3" borderId="4" xfId="0" applyFont="1" applyFill="1" applyBorder="1" applyAlignment="1" applyProtection="1">
      <alignment vertical="center"/>
      <protection hidden="1"/>
    </xf>
    <xf numFmtId="177" fontId="3" fillId="3" borderId="0" xfId="0" applyNumberFormat="1" applyFont="1" applyFill="1" applyAlignment="1" applyProtection="1">
      <alignment vertical="center"/>
      <protection hidden="1"/>
    </xf>
    <xf numFmtId="177" fontId="49" fillId="9" borderId="0" xfId="1713" applyNumberFormat="1" applyAlignment="1" applyProtection="1">
      <alignment vertical="center"/>
      <protection hidden="1"/>
    </xf>
    <xf numFmtId="0" fontId="0" fillId="3" borderId="0" xfId="0" applyFill="1" applyAlignment="1" applyProtection="1">
      <alignment horizontal="center" vertical="center" wrapText="1"/>
      <protection hidden="1"/>
    </xf>
    <xf numFmtId="169" fontId="3" fillId="3" borderId="0" xfId="0" applyNumberFormat="1" applyFont="1" applyFill="1" applyAlignment="1" applyProtection="1">
      <alignment horizontal="center" vertical="center"/>
      <protection hidden="1"/>
    </xf>
    <xf numFmtId="0" fontId="0" fillId="3" borderId="4" xfId="0" applyFill="1" applyBorder="1" applyAlignment="1" applyProtection="1">
      <alignment vertical="center"/>
      <protection hidden="1"/>
    </xf>
    <xf numFmtId="164" fontId="49" fillId="9" borderId="0" xfId="1713" applyNumberFormat="1" applyAlignment="1" applyProtection="1">
      <alignment vertical="center"/>
      <protection hidden="1"/>
    </xf>
    <xf numFmtId="168" fontId="21" fillId="3" borderId="0" xfId="0" applyNumberFormat="1" applyFont="1" applyFill="1" applyAlignment="1" applyProtection="1">
      <alignment horizontal="center" vertical="center"/>
      <protection hidden="1"/>
    </xf>
    <xf numFmtId="168" fontId="22" fillId="3" borderId="0" xfId="0" applyNumberFormat="1" applyFont="1" applyFill="1" applyAlignment="1" applyProtection="1">
      <alignment horizontal="center" vertical="center"/>
      <protection hidden="1"/>
    </xf>
    <xf numFmtId="169" fontId="22" fillId="3" borderId="0" xfId="0" applyNumberFormat="1" applyFont="1" applyFill="1" applyAlignment="1" applyProtection="1">
      <alignment horizontal="center" vertical="center"/>
      <protection hidden="1"/>
    </xf>
    <xf numFmtId="2" fontId="0" fillId="3" borderId="0" xfId="0" applyNumberFormat="1" applyFill="1" applyAlignment="1" applyProtection="1">
      <alignment horizontal="center" vertical="center"/>
      <protection hidden="1"/>
    </xf>
    <xf numFmtId="0" fontId="1" fillId="8" borderId="0" xfId="1712" applyFill="1" applyProtection="1">
      <protection hidden="1"/>
    </xf>
    <xf numFmtId="0" fontId="1" fillId="0" borderId="18" xfId="1712" applyBorder="1" applyProtection="1">
      <protection hidden="1"/>
    </xf>
    <xf numFmtId="0" fontId="35" fillId="0" borderId="0" xfId="1712" applyFont="1" applyProtection="1">
      <protection hidden="1"/>
    </xf>
    <xf numFmtId="0" fontId="36" fillId="0" borderId="0" xfId="1712" applyFont="1" applyAlignment="1" applyProtection="1">
      <alignment vertical="top" wrapText="1"/>
      <protection hidden="1"/>
    </xf>
    <xf numFmtId="0" fontId="37" fillId="0" borderId="0" xfId="1712" applyFont="1" applyProtection="1">
      <protection hidden="1"/>
    </xf>
    <xf numFmtId="0" fontId="38" fillId="0" borderId="0" xfId="1712" applyFont="1" applyProtection="1">
      <protection hidden="1"/>
    </xf>
    <xf numFmtId="0" fontId="42" fillId="0" borderId="0" xfId="1712" applyFont="1" applyAlignment="1" applyProtection="1">
      <alignment horizontal="justify"/>
      <protection hidden="1"/>
    </xf>
    <xf numFmtId="0" fontId="17" fillId="3" borderId="1" xfId="0" applyFont="1" applyFill="1" applyBorder="1" applyAlignment="1" applyProtection="1">
      <alignment vertical="center"/>
      <protection hidden="1"/>
    </xf>
    <xf numFmtId="0" fontId="3" fillId="3" borderId="3" xfId="0" applyFont="1" applyFill="1" applyBorder="1" applyAlignment="1" applyProtection="1">
      <alignment horizontal="left" vertical="center"/>
      <protection hidden="1"/>
    </xf>
    <xf numFmtId="0" fontId="52" fillId="3" borderId="3" xfId="0" applyFont="1" applyFill="1" applyBorder="1" applyAlignment="1" applyProtection="1">
      <alignment vertical="center"/>
      <protection hidden="1"/>
    </xf>
    <xf numFmtId="0" fontId="0" fillId="3" borderId="3" xfId="0" applyFill="1" applyBorder="1" applyProtection="1">
      <protection hidden="1"/>
    </xf>
    <xf numFmtId="177" fontId="3" fillId="3" borderId="0" xfId="0" applyNumberFormat="1" applyFont="1" applyFill="1" applyAlignment="1" applyProtection="1">
      <alignment horizontal="right" vertical="center"/>
      <protection hidden="1"/>
    </xf>
    <xf numFmtId="0" fontId="3" fillId="3" borderId="17" xfId="0" applyFont="1" applyFill="1" applyBorder="1" applyAlignment="1" applyProtection="1">
      <alignment vertical="center"/>
      <protection hidden="1"/>
    </xf>
    <xf numFmtId="0" fontId="0" fillId="3" borderId="20" xfId="0" applyFill="1" applyBorder="1" applyAlignment="1" applyProtection="1">
      <alignment horizontal="center" vertical="center" wrapText="1"/>
      <protection hidden="1"/>
    </xf>
    <xf numFmtId="0" fontId="0" fillId="3" borderId="14" xfId="0" applyFill="1" applyBorder="1" applyAlignment="1" applyProtection="1">
      <alignment vertical="center"/>
      <protection hidden="1"/>
    </xf>
    <xf numFmtId="164" fontId="3" fillId="3" borderId="0" xfId="0" applyNumberFormat="1" applyFont="1" applyFill="1" applyAlignment="1" applyProtection="1">
      <alignment horizontal="right" vertical="center"/>
      <protection hidden="1"/>
    </xf>
    <xf numFmtId="0" fontId="0" fillId="3" borderId="28" xfId="0" applyFill="1" applyBorder="1" applyAlignment="1" applyProtection="1">
      <alignment vertical="center"/>
      <protection hidden="1"/>
    </xf>
    <xf numFmtId="2" fontId="0" fillId="3" borderId="9" xfId="0" applyNumberFormat="1" applyFill="1" applyBorder="1" applyAlignment="1" applyProtection="1">
      <alignment horizontal="center" vertical="center"/>
      <protection hidden="1"/>
    </xf>
    <xf numFmtId="0" fontId="0" fillId="3" borderId="0" xfId="0" applyFill="1" applyAlignment="1" applyProtection="1">
      <alignment horizontal="right" vertical="center"/>
      <protection hidden="1"/>
    </xf>
    <xf numFmtId="171" fontId="0" fillId="3" borderId="0" xfId="0" applyNumberFormat="1" applyFill="1" applyAlignment="1" applyProtection="1">
      <alignment horizontal="right" vertical="center"/>
      <protection hidden="1"/>
    </xf>
    <xf numFmtId="164" fontId="7" fillId="3" borderId="4" xfId="0" applyNumberFormat="1" applyFont="1" applyFill="1" applyBorder="1" applyAlignment="1" applyProtection="1">
      <alignment horizontal="center" vertical="center"/>
      <protection hidden="1"/>
    </xf>
    <xf numFmtId="169" fontId="8" fillId="3" borderId="0" xfId="0" applyNumberFormat="1" applyFont="1" applyFill="1" applyAlignment="1" applyProtection="1">
      <alignment horizontal="right" vertical="center" wrapText="1"/>
      <protection hidden="1"/>
    </xf>
    <xf numFmtId="170" fontId="3" fillId="3" borderId="0" xfId="0" applyNumberFormat="1" applyFont="1" applyFill="1" applyAlignment="1" applyProtection="1">
      <alignment horizontal="right" vertical="center"/>
      <protection hidden="1"/>
    </xf>
    <xf numFmtId="0" fontId="3" fillId="3" borderId="0" xfId="0" applyFont="1" applyFill="1" applyAlignment="1" applyProtection="1">
      <alignment horizontal="right" vertical="center"/>
      <protection hidden="1"/>
    </xf>
    <xf numFmtId="0" fontId="0" fillId="3" borderId="15" xfId="0" applyFill="1" applyBorder="1" applyAlignment="1" applyProtection="1">
      <alignment vertical="center"/>
      <protection hidden="1"/>
    </xf>
    <xf numFmtId="178" fontId="8" fillId="3" borderId="4" xfId="0" applyNumberFormat="1" applyFont="1" applyFill="1" applyBorder="1" applyAlignment="1" applyProtection="1">
      <alignment horizontal="center" vertical="center"/>
      <protection hidden="1"/>
    </xf>
    <xf numFmtId="167" fontId="8" fillId="3" borderId="4" xfId="0" applyNumberFormat="1" applyFont="1" applyFill="1" applyBorder="1" applyAlignment="1" applyProtection="1">
      <alignment horizontal="center" vertical="center"/>
      <protection hidden="1"/>
    </xf>
    <xf numFmtId="175" fontId="3" fillId="3" borderId="0" xfId="0" applyNumberFormat="1" applyFont="1" applyFill="1" applyAlignment="1" applyProtection="1">
      <alignment horizontal="right" vertical="center"/>
      <protection hidden="1"/>
    </xf>
    <xf numFmtId="167" fontId="8" fillId="3" borderId="6" xfId="0" applyNumberFormat="1" applyFont="1" applyFill="1" applyBorder="1" applyAlignment="1" applyProtection="1">
      <alignment horizontal="center" vertical="center"/>
      <protection hidden="1"/>
    </xf>
    <xf numFmtId="176" fontId="13" fillId="3" borderId="0" xfId="0" applyNumberFormat="1" applyFont="1" applyFill="1" applyAlignment="1" applyProtection="1">
      <alignment horizontal="right" vertical="center"/>
      <protection hidden="1"/>
    </xf>
    <xf numFmtId="173" fontId="13" fillId="3" borderId="0" xfId="0" applyNumberFormat="1" applyFont="1" applyFill="1" applyAlignment="1" applyProtection="1">
      <alignment horizontal="right" vertical="center"/>
      <protection hidden="1"/>
    </xf>
    <xf numFmtId="1" fontId="13" fillId="3" borderId="0" xfId="0" applyNumberFormat="1" applyFont="1" applyFill="1" applyAlignment="1" applyProtection="1">
      <alignment vertical="center"/>
      <protection hidden="1"/>
    </xf>
    <xf numFmtId="164" fontId="15" fillId="3" borderId="4" xfId="0" applyNumberFormat="1" applyFont="1" applyFill="1" applyBorder="1" applyAlignment="1" applyProtection="1">
      <alignment horizontal="center" vertical="center"/>
      <protection hidden="1"/>
    </xf>
    <xf numFmtId="2" fontId="8" fillId="3" borderId="4" xfId="0" applyNumberFormat="1" applyFont="1" applyFill="1" applyBorder="1" applyAlignment="1" applyProtection="1">
      <alignment horizontal="center" vertical="center"/>
      <protection hidden="1"/>
    </xf>
    <xf numFmtId="178" fontId="50" fillId="10" borderId="4" xfId="1714" applyNumberFormat="1" applyBorder="1" applyAlignment="1" applyProtection="1">
      <alignment horizontal="center" vertical="center"/>
      <protection hidden="1"/>
    </xf>
    <xf numFmtId="0" fontId="0" fillId="3" borderId="4" xfId="0" applyFill="1" applyBorder="1" applyProtection="1">
      <protection hidden="1"/>
    </xf>
    <xf numFmtId="164" fontId="23" fillId="3" borderId="4" xfId="0" applyNumberFormat="1" applyFont="1" applyFill="1" applyBorder="1" applyAlignment="1" applyProtection="1">
      <alignment horizontal="center" vertical="center"/>
      <protection hidden="1"/>
    </xf>
    <xf numFmtId="170" fontId="8" fillId="3" borderId="4" xfId="0" applyNumberFormat="1" applyFont="1" applyFill="1" applyBorder="1" applyAlignment="1" applyProtection="1">
      <alignment horizontal="center" vertical="center"/>
      <protection hidden="1"/>
    </xf>
    <xf numFmtId="178" fontId="7" fillId="3" borderId="4" xfId="0" applyNumberFormat="1" applyFont="1" applyFill="1" applyBorder="1" applyAlignment="1" applyProtection="1">
      <alignment horizontal="center" vertical="center"/>
      <protection hidden="1"/>
    </xf>
    <xf numFmtId="165" fontId="7" fillId="3" borderId="4" xfId="0" applyNumberFormat="1" applyFont="1" applyFill="1" applyBorder="1" applyAlignment="1" applyProtection="1">
      <alignment horizontal="center" vertical="center"/>
      <protection hidden="1"/>
    </xf>
    <xf numFmtId="168" fontId="8" fillId="3" borderId="4" xfId="0" applyNumberFormat="1" applyFont="1" applyFill="1" applyBorder="1" applyAlignment="1" applyProtection="1">
      <alignment horizontal="center" vertical="center"/>
      <protection hidden="1"/>
    </xf>
    <xf numFmtId="171" fontId="8" fillId="3" borderId="4" xfId="0" applyNumberFormat="1" applyFont="1" applyFill="1" applyBorder="1" applyAlignment="1" applyProtection="1">
      <alignment horizontal="center" vertical="center"/>
      <protection hidden="1"/>
    </xf>
    <xf numFmtId="169" fontId="8" fillId="3" borderId="8" xfId="0" applyNumberFormat="1" applyFont="1" applyFill="1" applyBorder="1" applyAlignment="1" applyProtection="1">
      <alignment horizontal="center" vertical="center"/>
      <protection hidden="1"/>
    </xf>
    <xf numFmtId="177" fontId="7" fillId="3" borderId="4" xfId="0" applyNumberFormat="1" applyFont="1" applyFill="1" applyBorder="1" applyAlignment="1" applyProtection="1">
      <alignment horizontal="center" vertical="center"/>
      <protection hidden="1"/>
    </xf>
    <xf numFmtId="2" fontId="4" fillId="3" borderId="4" xfId="0" applyNumberFormat="1" applyFont="1" applyFill="1" applyBorder="1" applyAlignment="1" applyProtection="1">
      <alignment horizontal="left" vertical="center"/>
      <protection hidden="1"/>
    </xf>
    <xf numFmtId="2" fontId="21" fillId="3" borderId="0" xfId="0" applyNumberFormat="1" applyFont="1" applyFill="1" applyAlignment="1" applyProtection="1">
      <alignment horizontal="center" vertical="center"/>
      <protection hidden="1"/>
    </xf>
    <xf numFmtId="0" fontId="8" fillId="3" borderId="4" xfId="0" applyFont="1" applyFill="1" applyBorder="1" applyAlignment="1" applyProtection="1">
      <alignment horizontal="left" vertical="center"/>
      <protection hidden="1"/>
    </xf>
    <xf numFmtId="0" fontId="13" fillId="3" borderId="0" xfId="0" applyFont="1" applyFill="1" applyAlignment="1">
      <alignment vertical="center"/>
    </xf>
    <xf numFmtId="0" fontId="27" fillId="3" borderId="2" xfId="0" applyFont="1" applyFill="1" applyBorder="1" applyAlignment="1">
      <alignment vertical="center"/>
    </xf>
    <xf numFmtId="0" fontId="3" fillId="3" borderId="4" xfId="0" applyFont="1" applyFill="1" applyBorder="1" applyAlignment="1" applyProtection="1">
      <alignment vertical="center"/>
      <protection hidden="1"/>
    </xf>
    <xf numFmtId="169" fontId="8" fillId="3" borderId="4" xfId="0" applyNumberFormat="1" applyFont="1" applyFill="1" applyBorder="1" applyAlignment="1" applyProtection="1">
      <alignment horizontal="left" vertical="center"/>
      <protection hidden="1"/>
    </xf>
    <xf numFmtId="169" fontId="24" fillId="3" borderId="4" xfId="0" applyNumberFormat="1" applyFont="1" applyFill="1" applyBorder="1" applyAlignment="1" applyProtection="1">
      <alignment vertical="center"/>
      <protection hidden="1"/>
    </xf>
    <xf numFmtId="0" fontId="0" fillId="3" borderId="4" xfId="0" applyFill="1" applyBorder="1" applyAlignment="1" applyProtection="1">
      <alignment horizontal="left" vertical="center"/>
      <protection hidden="1"/>
    </xf>
    <xf numFmtId="0" fontId="16" fillId="3" borderId="6" xfId="0" applyFont="1" applyFill="1" applyBorder="1" applyAlignment="1" applyProtection="1">
      <alignment vertical="top" wrapText="1"/>
      <protection hidden="1"/>
    </xf>
    <xf numFmtId="0" fontId="16" fillId="3" borderId="4" xfId="0" applyFont="1" applyFill="1" applyBorder="1" applyAlignment="1" applyProtection="1">
      <alignment vertical="top" wrapText="1"/>
      <protection hidden="1"/>
    </xf>
    <xf numFmtId="164" fontId="0" fillId="3" borderId="4" xfId="0" applyNumberFormat="1" applyFill="1" applyBorder="1" applyAlignment="1" applyProtection="1">
      <alignment horizontal="left" vertical="center"/>
      <protection hidden="1"/>
    </xf>
    <xf numFmtId="2" fontId="8" fillId="3" borderId="4" xfId="0" applyNumberFormat="1" applyFont="1" applyFill="1" applyBorder="1" applyAlignment="1" applyProtection="1">
      <alignment horizontal="left" vertical="center"/>
      <protection hidden="1"/>
    </xf>
    <xf numFmtId="0" fontId="50" fillId="10" borderId="0" xfId="1714" applyBorder="1" applyAlignment="1" applyProtection="1">
      <alignment horizontal="center" vertical="center"/>
      <protection hidden="1"/>
    </xf>
    <xf numFmtId="2" fontId="50" fillId="10" borderId="0" xfId="1714" applyNumberFormat="1" applyBorder="1" applyAlignment="1" applyProtection="1">
      <alignment horizontal="center" vertical="center"/>
      <protection hidden="1"/>
    </xf>
    <xf numFmtId="2" fontId="50" fillId="10" borderId="4" xfId="1714" applyNumberFormat="1" applyBorder="1" applyAlignment="1" applyProtection="1">
      <alignment horizontal="left" vertical="center"/>
      <protection hidden="1"/>
    </xf>
    <xf numFmtId="0" fontId="0" fillId="3" borderId="2" xfId="0" applyFill="1" applyBorder="1" applyAlignment="1" applyProtection="1">
      <alignment horizontal="left" vertical="center"/>
      <protection hidden="1"/>
    </xf>
    <xf numFmtId="164" fontId="4" fillId="3" borderId="4" xfId="0" applyNumberFormat="1" applyFont="1" applyFill="1" applyBorder="1" applyAlignment="1" applyProtection="1">
      <alignment horizontal="left" vertical="center"/>
      <protection hidden="1"/>
    </xf>
    <xf numFmtId="164" fontId="21" fillId="3" borderId="4" xfId="0" applyNumberFormat="1" applyFont="1" applyFill="1" applyBorder="1" applyAlignment="1" applyProtection="1">
      <alignment horizontal="left" vertical="center"/>
      <protection hidden="1"/>
    </xf>
    <xf numFmtId="0" fontId="24" fillId="3" borderId="4" xfId="0" applyFont="1" applyFill="1" applyBorder="1" applyAlignment="1" applyProtection="1">
      <alignment vertical="center" wrapText="1"/>
      <protection hidden="1"/>
    </xf>
    <xf numFmtId="0" fontId="0" fillId="3" borderId="6" xfId="0" applyFill="1" applyBorder="1" applyAlignment="1" applyProtection="1">
      <alignment horizontal="left" vertical="center"/>
      <protection hidden="1"/>
    </xf>
    <xf numFmtId="0" fontId="0" fillId="3" borderId="4" xfId="0" applyFill="1" applyBorder="1" applyAlignment="1" applyProtection="1">
      <alignment horizontal="left"/>
      <protection hidden="1"/>
    </xf>
    <xf numFmtId="2" fontId="4" fillId="3" borderId="8" xfId="0" applyNumberFormat="1" applyFont="1" applyFill="1" applyBorder="1" applyAlignment="1" applyProtection="1">
      <alignment horizontal="center" vertical="center"/>
      <protection hidden="1"/>
    </xf>
    <xf numFmtId="2" fontId="4" fillId="3" borderId="6" xfId="0" applyNumberFormat="1" applyFont="1" applyFill="1" applyBorder="1" applyAlignment="1" applyProtection="1">
      <alignment horizontal="left" vertical="center"/>
      <protection hidden="1"/>
    </xf>
    <xf numFmtId="0" fontId="0" fillId="3" borderId="2" xfId="0" applyFill="1" applyBorder="1" applyAlignment="1">
      <alignment horizontal="center" vertical="center"/>
    </xf>
    <xf numFmtId="0" fontId="0" fillId="3" borderId="4" xfId="0" applyFill="1" applyBorder="1" applyAlignment="1">
      <alignment horizontal="center" vertical="center"/>
    </xf>
    <xf numFmtId="0" fontId="27" fillId="3" borderId="22" xfId="0" applyFont="1" applyFill="1" applyBorder="1" applyAlignment="1">
      <alignment vertical="center"/>
    </xf>
    <xf numFmtId="0" fontId="0" fillId="3" borderId="23" xfId="0" applyFill="1" applyBorder="1" applyAlignment="1">
      <alignment vertical="center"/>
    </xf>
    <xf numFmtId="0" fontId="8" fillId="3" borderId="3" xfId="0" applyFont="1" applyFill="1" applyBorder="1" applyAlignment="1">
      <alignment vertical="center" wrapText="1"/>
    </xf>
    <xf numFmtId="0" fontId="13" fillId="3" borderId="6" xfId="0" applyFont="1" applyFill="1" applyBorder="1" applyAlignment="1" applyProtection="1">
      <alignment horizontal="center" vertical="center"/>
      <protection hidden="1"/>
    </xf>
    <xf numFmtId="0" fontId="27" fillId="3" borderId="23" xfId="0" applyFont="1" applyFill="1" applyBorder="1" applyAlignment="1" applyProtection="1">
      <alignment vertical="center"/>
      <protection hidden="1"/>
    </xf>
    <xf numFmtId="2" fontId="4" fillId="3" borderId="0" xfId="0" applyNumberFormat="1" applyFont="1" applyFill="1" applyAlignment="1" applyProtection="1">
      <alignment horizontal="left" vertical="center"/>
      <protection hidden="1"/>
    </xf>
    <xf numFmtId="0" fontId="8" fillId="3" borderId="0" xfId="0" applyFont="1" applyFill="1" applyAlignment="1" applyProtection="1">
      <alignment horizontal="left" vertical="center"/>
      <protection hidden="1"/>
    </xf>
    <xf numFmtId="0" fontId="27" fillId="3" borderId="23" xfId="0" applyFont="1" applyFill="1" applyBorder="1" applyAlignment="1">
      <alignment vertical="center"/>
    </xf>
    <xf numFmtId="176" fontId="33" fillId="7" borderId="16" xfId="0" applyNumberFormat="1" applyFont="1" applyFill="1" applyBorder="1" applyAlignment="1" applyProtection="1">
      <alignment horizontal="center" vertical="center"/>
      <protection locked="0"/>
    </xf>
    <xf numFmtId="180" fontId="34" fillId="0" borderId="0" xfId="0" applyNumberFormat="1" applyFont="1" applyAlignment="1" applyProtection="1">
      <alignment horizontal="center" vertical="center"/>
      <protection hidden="1"/>
    </xf>
    <xf numFmtId="172" fontId="33" fillId="7" borderId="32" xfId="0" applyNumberFormat="1" applyFont="1" applyFill="1" applyBorder="1" applyAlignment="1" applyProtection="1">
      <alignment horizontal="center" vertical="center"/>
      <protection locked="0"/>
    </xf>
    <xf numFmtId="180" fontId="33" fillId="7" borderId="33" xfId="0" applyNumberFormat="1" applyFont="1" applyFill="1" applyBorder="1" applyAlignment="1" applyProtection="1">
      <alignment horizontal="center" vertical="center"/>
      <protection locked="0"/>
    </xf>
    <xf numFmtId="0" fontId="0" fillId="3" borderId="6" xfId="0" applyFill="1" applyBorder="1" applyAlignment="1">
      <alignment horizontal="center" vertical="center"/>
    </xf>
    <xf numFmtId="0" fontId="0" fillId="3" borderId="4" xfId="0" applyFill="1" applyBorder="1" applyAlignment="1" applyProtection="1">
      <alignment horizontal="center" vertical="center"/>
      <protection hidden="1"/>
    </xf>
    <xf numFmtId="0" fontId="8" fillId="3" borderId="4" xfId="0" applyFont="1" applyFill="1" applyBorder="1" applyAlignment="1">
      <alignment horizontal="center" vertical="center" wrapText="1"/>
    </xf>
    <xf numFmtId="0" fontId="8" fillId="3" borderId="23" xfId="0" applyFont="1" applyFill="1" applyBorder="1" applyAlignment="1">
      <alignment vertical="center" wrapText="1"/>
    </xf>
    <xf numFmtId="177" fontId="0" fillId="3" borderId="8" xfId="0" applyNumberFormat="1" applyFill="1" applyBorder="1"/>
    <xf numFmtId="169" fontId="32" fillId="3" borderId="23" xfId="0" applyNumberFormat="1" applyFont="1" applyFill="1" applyBorder="1" applyAlignment="1">
      <alignment horizontal="center" vertical="center"/>
    </xf>
    <xf numFmtId="0" fontId="0" fillId="3" borderId="1" xfId="0" applyFill="1" applyBorder="1" applyProtection="1">
      <protection hidden="1"/>
    </xf>
    <xf numFmtId="169" fontId="0" fillId="3" borderId="7" xfId="0" applyNumberFormat="1" applyFill="1" applyBorder="1" applyProtection="1">
      <protection hidden="1"/>
    </xf>
    <xf numFmtId="169" fontId="0" fillId="3" borderId="2" xfId="0" applyNumberFormat="1" applyFill="1" applyBorder="1" applyProtection="1">
      <protection hidden="1"/>
    </xf>
    <xf numFmtId="0" fontId="0" fillId="3" borderId="5" xfId="0" applyFill="1" applyBorder="1" applyProtection="1">
      <protection hidden="1"/>
    </xf>
    <xf numFmtId="169" fontId="0" fillId="3" borderId="8" xfId="0" applyNumberFormat="1" applyFill="1" applyBorder="1" applyProtection="1">
      <protection hidden="1"/>
    </xf>
    <xf numFmtId="169" fontId="0" fillId="3" borderId="6" xfId="0" applyNumberFormat="1" applyFill="1" applyBorder="1" applyProtection="1">
      <protection hidden="1"/>
    </xf>
    <xf numFmtId="0" fontId="0" fillId="3" borderId="7" xfId="0" applyFill="1" applyBorder="1" applyProtection="1">
      <protection hidden="1"/>
    </xf>
    <xf numFmtId="0" fontId="0" fillId="3" borderId="8" xfId="0" applyFill="1" applyBorder="1" applyProtection="1">
      <protection hidden="1"/>
    </xf>
    <xf numFmtId="0" fontId="40" fillId="0" borderId="0" xfId="1712" applyFont="1" applyAlignment="1" applyProtection="1">
      <alignment horizontal="justify" vertical="top" wrapText="1"/>
      <protection hidden="1"/>
    </xf>
    <xf numFmtId="0" fontId="47" fillId="0" borderId="0" xfId="1712" applyFont="1" applyAlignment="1" applyProtection="1">
      <alignment horizontal="justify" wrapText="1"/>
      <protection hidden="1"/>
    </xf>
    <xf numFmtId="0" fontId="13" fillId="3" borderId="0" xfId="0" applyFont="1" applyFill="1" applyAlignment="1" applyProtection="1">
      <alignment horizontal="center" vertical="center"/>
      <protection hidden="1"/>
    </xf>
    <xf numFmtId="0" fontId="3" fillId="3" borderId="0" xfId="0" applyFont="1" applyFill="1" applyAlignment="1" applyProtection="1">
      <alignment horizontal="center" vertical="center"/>
      <protection hidden="1"/>
    </xf>
    <xf numFmtId="0" fontId="3" fillId="3" borderId="4" xfId="0" applyFont="1" applyFill="1" applyBorder="1" applyAlignment="1" applyProtection="1">
      <alignment horizontal="center" vertical="center"/>
      <protection hidden="1"/>
    </xf>
    <xf numFmtId="0" fontId="3" fillId="3" borderId="7" xfId="0" applyFont="1" applyFill="1" applyBorder="1" applyAlignment="1" applyProtection="1">
      <alignment horizontal="center" vertical="center"/>
      <protection hidden="1"/>
    </xf>
    <xf numFmtId="0" fontId="13" fillId="3" borderId="0" xfId="0" applyFont="1" applyFill="1" applyAlignment="1">
      <alignment horizontal="center" vertical="center"/>
    </xf>
    <xf numFmtId="0" fontId="57" fillId="8" borderId="0" xfId="1715" applyFill="1" applyAlignment="1" applyProtection="1">
      <alignment horizontal="center" vertical="top" wrapText="1"/>
      <protection hidden="1"/>
    </xf>
    <xf numFmtId="0" fontId="39" fillId="8" borderId="34" xfId="1712" applyFont="1" applyFill="1" applyBorder="1" applyAlignment="1" applyProtection="1">
      <alignment horizontal="center" vertical="center" wrapText="1"/>
      <protection hidden="1"/>
    </xf>
    <xf numFmtId="0" fontId="21" fillId="3" borderId="23" xfId="0" applyFont="1" applyFill="1" applyBorder="1" applyAlignment="1" applyProtection="1">
      <alignment vertical="center"/>
      <protection hidden="1"/>
    </xf>
    <xf numFmtId="0" fontId="44" fillId="0" borderId="0" xfId="1712" applyFont="1" applyAlignment="1" applyProtection="1">
      <alignment horizontal="justify" vertical="top" wrapText="1"/>
      <protection hidden="1"/>
    </xf>
    <xf numFmtId="49" fontId="51" fillId="0" borderId="0" xfId="1712" applyNumberFormat="1" applyFont="1" applyAlignment="1" applyProtection="1">
      <alignment horizontal="justify" vertical="top" wrapText="1"/>
      <protection hidden="1"/>
    </xf>
    <xf numFmtId="49" fontId="40" fillId="0" borderId="0" xfId="1712" applyNumberFormat="1" applyFont="1" applyAlignment="1" applyProtection="1">
      <alignment horizontal="justify" vertical="top" wrapText="1"/>
      <protection hidden="1"/>
    </xf>
    <xf numFmtId="0" fontId="40" fillId="0" borderId="0" xfId="1712" applyFont="1" applyAlignment="1" applyProtection="1">
      <alignment horizontal="justify" vertical="top" wrapText="1"/>
      <protection hidden="1"/>
    </xf>
    <xf numFmtId="0" fontId="46" fillId="0" borderId="0" xfId="1712" applyFont="1" applyAlignment="1" applyProtection="1">
      <alignment horizontal="justify" wrapText="1"/>
      <protection hidden="1"/>
    </xf>
    <xf numFmtId="0" fontId="47" fillId="0" borderId="0" xfId="1712" applyFont="1" applyAlignment="1" applyProtection="1">
      <alignment horizontal="justify" wrapText="1"/>
      <protection hidden="1"/>
    </xf>
    <xf numFmtId="0" fontId="45" fillId="0" borderId="0" xfId="1712" applyFont="1" applyAlignment="1" applyProtection="1">
      <alignment horizontal="justify" vertical="top" wrapText="1"/>
      <protection hidden="1"/>
    </xf>
    <xf numFmtId="0" fontId="56" fillId="0" borderId="0" xfId="1712" applyFont="1" applyAlignment="1" applyProtection="1">
      <alignment horizontal="justify" vertical="top" wrapText="1"/>
      <protection hidden="1"/>
    </xf>
    <xf numFmtId="0" fontId="40" fillId="0" borderId="0" xfId="1712" applyFont="1" applyAlignment="1" applyProtection="1">
      <alignment horizontal="center" vertical="top" wrapText="1"/>
      <protection hidden="1"/>
    </xf>
    <xf numFmtId="0" fontId="43" fillId="0" borderId="0" xfId="1712" applyFont="1" applyAlignment="1" applyProtection="1">
      <alignment horizontal="justify" wrapText="1"/>
      <protection hidden="1"/>
    </xf>
    <xf numFmtId="0" fontId="16" fillId="3" borderId="0" xfId="0" applyFont="1" applyFill="1" applyAlignment="1">
      <alignment horizontal="center" vertical="center" wrapText="1"/>
    </xf>
    <xf numFmtId="0" fontId="16" fillId="3" borderId="4" xfId="0" applyFont="1" applyFill="1" applyBorder="1" applyAlignment="1">
      <alignment horizontal="center" vertical="center" wrapText="1"/>
    </xf>
    <xf numFmtId="0" fontId="34" fillId="8" borderId="31" xfId="0" applyFont="1" applyFill="1" applyBorder="1" applyAlignment="1" applyProtection="1">
      <alignment horizontal="center" vertical="center"/>
      <protection locked="0"/>
    </xf>
    <xf numFmtId="0" fontId="34" fillId="8" borderId="30" xfId="0" applyFont="1" applyFill="1" applyBorder="1" applyAlignment="1" applyProtection="1">
      <alignment horizontal="center" vertical="center"/>
      <protection locked="0"/>
    </xf>
    <xf numFmtId="0" fontId="13" fillId="3" borderId="0" xfId="0" applyFont="1" applyFill="1" applyAlignment="1" applyProtection="1">
      <alignment horizontal="center" vertical="center"/>
      <protection hidden="1"/>
    </xf>
    <xf numFmtId="0" fontId="3" fillId="3" borderId="0" xfId="0" applyFont="1" applyFill="1" applyAlignment="1" applyProtection="1">
      <alignment horizontal="center" vertical="center"/>
      <protection hidden="1"/>
    </xf>
    <xf numFmtId="0" fontId="3" fillId="3" borderId="4" xfId="0" applyFont="1" applyFill="1" applyBorder="1" applyAlignment="1" applyProtection="1">
      <alignment horizontal="center" vertical="center"/>
      <protection hidden="1"/>
    </xf>
    <xf numFmtId="0" fontId="0" fillId="3" borderId="0" xfId="0" applyFill="1" applyAlignment="1">
      <alignment horizontal="center" vertical="center" wrapText="1"/>
    </xf>
    <xf numFmtId="0" fontId="0" fillId="3" borderId="4" xfId="0" applyFill="1" applyBorder="1" applyAlignment="1">
      <alignment horizontal="center" vertical="center" wrapText="1"/>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3" fillId="3" borderId="7" xfId="0" applyFont="1" applyFill="1" applyBorder="1" applyAlignment="1" applyProtection="1">
      <alignment horizontal="center" vertical="center"/>
      <protection hidden="1"/>
    </xf>
    <xf numFmtId="0" fontId="3" fillId="3" borderId="12" xfId="0" applyFont="1" applyFill="1" applyBorder="1" applyAlignment="1" applyProtection="1">
      <alignment horizontal="center" vertical="center"/>
      <protection hidden="1"/>
    </xf>
    <xf numFmtId="2" fontId="13" fillId="3" borderId="7" xfId="0" applyNumberFormat="1" applyFont="1" applyFill="1" applyBorder="1" applyAlignment="1" applyProtection="1">
      <alignment horizontal="center" vertical="center"/>
      <protection hidden="1"/>
    </xf>
    <xf numFmtId="2" fontId="13" fillId="3" borderId="12" xfId="0" applyNumberFormat="1" applyFont="1" applyFill="1" applyBorder="1" applyAlignment="1" applyProtection="1">
      <alignment horizontal="center" vertical="center"/>
      <protection hidden="1"/>
    </xf>
    <xf numFmtId="0" fontId="24" fillId="0" borderId="23" xfId="0" applyFont="1" applyBorder="1" applyAlignment="1" applyProtection="1">
      <alignment horizontal="left" vertical="center" wrapText="1"/>
      <protection hidden="1"/>
    </xf>
    <xf numFmtId="0" fontId="3" fillId="3" borderId="2" xfId="0" applyFont="1" applyFill="1" applyBorder="1" applyAlignment="1" applyProtection="1">
      <alignment horizontal="center" vertical="center"/>
      <protection hidden="1"/>
    </xf>
    <xf numFmtId="2" fontId="13" fillId="3" borderId="2" xfId="0" applyNumberFormat="1" applyFont="1" applyFill="1" applyBorder="1" applyAlignment="1" applyProtection="1">
      <alignment horizontal="center" vertical="center"/>
      <protection hidden="1"/>
    </xf>
    <xf numFmtId="0" fontId="13" fillId="3" borderId="0" xfId="0" applyFont="1" applyFill="1" applyAlignment="1">
      <alignment horizontal="center" vertical="center"/>
    </xf>
    <xf numFmtId="0" fontId="8" fillId="3" borderId="0" xfId="0" applyFont="1" applyFill="1" applyAlignment="1">
      <alignment horizontal="left" vertical="center" wrapText="1"/>
    </xf>
    <xf numFmtId="0" fontId="8" fillId="3" borderId="4" xfId="0" applyFont="1" applyFill="1" applyBorder="1" applyAlignment="1">
      <alignment horizontal="left" vertical="center" wrapText="1"/>
    </xf>
    <xf numFmtId="0" fontId="3" fillId="3" borderId="0" xfId="0" applyFont="1" applyFill="1" applyAlignment="1">
      <alignment horizontal="center" vertical="center"/>
    </xf>
  </cellXfs>
  <cellStyles count="1716">
    <cellStyle name="Gevolgde hyperlink" xfId="160" builtinId="9" hidden="1"/>
    <cellStyle name="Gevolgde hyperlink" xfId="1483" builtinId="9" hidden="1"/>
    <cellStyle name="Gevolgde hyperlink" xfId="575" builtinId="9" hidden="1"/>
    <cellStyle name="Gevolgde hyperlink" xfId="899" builtinId="9" hidden="1"/>
    <cellStyle name="Gevolgde hyperlink" xfId="635" builtinId="9" hidden="1"/>
    <cellStyle name="Gevolgde hyperlink" xfId="691" builtinId="9" hidden="1"/>
    <cellStyle name="Gevolgde hyperlink" xfId="1197" builtinId="9" hidden="1"/>
    <cellStyle name="Gevolgde hyperlink" xfId="212" builtinId="9" hidden="1"/>
    <cellStyle name="Gevolgde hyperlink" xfId="1611" builtinId="9" hidden="1"/>
    <cellStyle name="Gevolgde hyperlink" xfId="74" builtinId="9" hidden="1"/>
    <cellStyle name="Gevolgde hyperlink" xfId="1335" builtinId="9" hidden="1"/>
    <cellStyle name="Gevolgde hyperlink" xfId="553" builtinId="9" hidden="1"/>
    <cellStyle name="Gevolgde hyperlink" xfId="921" builtinId="9" hidden="1"/>
    <cellStyle name="Gevolgde hyperlink" xfId="967" builtinId="9" hidden="1"/>
    <cellStyle name="Gevolgde hyperlink" xfId="330" builtinId="9" hidden="1"/>
    <cellStyle name="Gevolgde hyperlink" xfId="1263" builtinId="9" hidden="1"/>
    <cellStyle name="Gevolgde hyperlink" xfId="801" builtinId="9" hidden="1"/>
    <cellStyle name="Gevolgde hyperlink" xfId="785" builtinId="9" hidden="1"/>
    <cellStyle name="Gevolgde hyperlink" xfId="1231" builtinId="9" hidden="1"/>
    <cellStyle name="Gevolgde hyperlink" xfId="1427" builtinId="9" hidden="1"/>
    <cellStyle name="Gevolgde hyperlink" xfId="52" builtinId="9" hidden="1"/>
    <cellStyle name="Gevolgde hyperlink" xfId="973" builtinId="9" hidden="1"/>
    <cellStyle name="Gevolgde hyperlink" xfId="396" builtinId="9" hidden="1"/>
    <cellStyle name="Gevolgde hyperlink" xfId="332" builtinId="9" hidden="1"/>
    <cellStyle name="Gevolgde hyperlink" xfId="845" builtinId="9" hidden="1"/>
    <cellStyle name="Gevolgde hyperlink" xfId="146" builtinId="9" hidden="1"/>
    <cellStyle name="Gevolgde hyperlink" xfId="1491" builtinId="9" hidden="1"/>
    <cellStyle name="Gevolgde hyperlink" xfId="1359" builtinId="9" hidden="1"/>
    <cellStyle name="Gevolgde hyperlink" xfId="913" builtinId="9" hidden="1"/>
    <cellStyle name="Gevolgde hyperlink" xfId="769" builtinId="9" hidden="1"/>
    <cellStyle name="Gevolgde hyperlink" xfId="1199" builtinId="9" hidden="1"/>
    <cellStyle name="Gevolgde hyperlink" xfId="246" builtinId="9" hidden="1"/>
    <cellStyle name="Gevolgde hyperlink" xfId="1031" builtinId="9" hidden="1"/>
    <cellStyle name="Gevolgde hyperlink" xfId="857" builtinId="9" hidden="1"/>
    <cellStyle name="Gevolgde hyperlink" xfId="617" builtinId="9" hidden="1"/>
    <cellStyle name="Gevolgde hyperlink" xfId="1271" builtinId="9" hidden="1"/>
    <cellStyle name="Gevolgde hyperlink" xfId="138" builtinId="9" hidden="1"/>
    <cellStyle name="Gevolgde hyperlink" xfId="1621" builtinId="9" hidden="1"/>
    <cellStyle name="Gevolgde hyperlink" xfId="180" builtinId="9" hidden="1"/>
    <cellStyle name="Gevolgde hyperlink" xfId="1325" builtinId="9" hidden="1"/>
    <cellStyle name="Gevolgde hyperlink" xfId="563" builtinId="9" hidden="1"/>
    <cellStyle name="Gevolgde hyperlink" xfId="955" builtinId="9" hidden="1"/>
    <cellStyle name="Gevolgde hyperlink" xfId="515" builtinId="9" hidden="1"/>
    <cellStyle name="Gevolgde hyperlink" xfId="322" builtinId="9" hidden="1"/>
    <cellStyle name="Gevolgde hyperlink" xfId="917" builtinId="9" hidden="1"/>
    <cellStyle name="Gevolgde hyperlink" xfId="346" builtinId="9" hidden="1"/>
    <cellStyle name="Gevolgde hyperlink" xfId="649" builtinId="9" hidden="1"/>
    <cellStyle name="Gevolgde hyperlink" xfId="1589" builtinId="9" hidden="1"/>
    <cellStyle name="Gevolgde hyperlink" xfId="517" builtinId="9" hidden="1"/>
    <cellStyle name="Gevolgde hyperlink" xfId="1533" builtinId="9" hidden="1"/>
    <cellStyle name="Gevolgde hyperlink" xfId="863" builtinId="9" hidden="1"/>
    <cellStyle name="Gevolgde hyperlink" xfId="1405" builtinId="9" hidden="1"/>
    <cellStyle name="Gevolgde hyperlink" xfId="611" builtinId="9" hidden="1"/>
    <cellStyle name="Gevolgde hyperlink" xfId="1371" builtinId="9" hidden="1"/>
    <cellStyle name="Gevolgde hyperlink" xfId="645" builtinId="9" hidden="1"/>
    <cellStyle name="Gevolgde hyperlink" xfId="637" builtinId="9" hidden="1"/>
    <cellStyle name="Gevolgde hyperlink" xfId="663" builtinId="9" hidden="1"/>
    <cellStyle name="Gevolgde hyperlink" xfId="1461" builtinId="9" hidden="1"/>
    <cellStyle name="Gevolgde hyperlink" xfId="426" builtinId="9" hidden="1"/>
    <cellStyle name="Gevolgde hyperlink" xfId="1047" builtinId="9" hidden="1"/>
    <cellStyle name="Gevolgde hyperlink" xfId="841" builtinId="9" hidden="1"/>
    <cellStyle name="Gevolgde hyperlink" xfId="569" builtinId="9" hidden="1"/>
    <cellStyle name="Gevolgde hyperlink" xfId="1255" builtinId="9" hidden="1"/>
    <cellStyle name="Gevolgde hyperlink" xfId="154" builtinId="9" hidden="1"/>
    <cellStyle name="Gevolgde hyperlink" xfId="34" builtinId="9" hidden="1"/>
    <cellStyle name="Gevolgde hyperlink" xfId="1295" builtinId="9" hidden="1"/>
    <cellStyle name="Gevolgde hyperlink" xfId="404" builtinId="9" hidden="1"/>
    <cellStyle name="Gevolgde hyperlink" xfId="1193" builtinId="9" hidden="1"/>
    <cellStyle name="Gevolgde hyperlink" xfId="763" builtinId="9" hidden="1"/>
    <cellStyle name="Gevolgde hyperlink" xfId="835" builtinId="9" hidden="1"/>
    <cellStyle name="Gevolgde hyperlink" xfId="1185" builtinId="9" hidden="1"/>
    <cellStyle name="Gevolgde hyperlink" xfId="1279" builtinId="9" hidden="1"/>
    <cellStyle name="Gevolgde hyperlink" xfId="386" builtinId="9" hidden="1"/>
    <cellStyle name="Gevolgde hyperlink" xfId="1245" builtinId="9" hidden="1"/>
    <cellStyle name="Gevolgde hyperlink" xfId="827" builtinId="9" hidden="1"/>
    <cellStyle name="Gevolgde hyperlink" xfId="1509" builtinId="9" hidden="1"/>
    <cellStyle name="Gevolgde hyperlink" xfId="484" builtinId="9" hidden="1"/>
    <cellStyle name="Gevolgde hyperlink" xfId="378" builtinId="9" hidden="1"/>
    <cellStyle name="Gevolgde hyperlink" xfId="326" builtinId="9" hidden="1"/>
    <cellStyle name="Gevolgde hyperlink" xfId="122" builtinId="9" hidden="1"/>
    <cellStyle name="Gevolgde hyperlink" xfId="292" builtinId="9" hidden="1"/>
    <cellStyle name="Gevolgde hyperlink" xfId="1573" builtinId="9" hidden="1"/>
    <cellStyle name="Gevolgde hyperlink" xfId="228" builtinId="9" hidden="1"/>
    <cellStyle name="Gevolgde hyperlink" xfId="1437" builtinId="9" hidden="1"/>
    <cellStyle name="Gevolgde hyperlink" xfId="130" builtinId="9" hidden="1"/>
    <cellStyle name="Gevolgde hyperlink" xfId="1377" builtinId="9" hidden="1"/>
    <cellStyle name="Gevolgde hyperlink" xfId="1089" builtinId="9" hidden="1"/>
    <cellStyle name="Gevolgde hyperlink" xfId="1603" builtinId="9" hidden="1"/>
    <cellStyle name="Gevolgde hyperlink" xfId="54" builtinId="9" hidden="1"/>
    <cellStyle name="Gevolgde hyperlink" xfId="1705" builtinId="9" hidden="1"/>
    <cellStyle name="Gevolgde hyperlink" xfId="236" builtinId="9" hidden="1"/>
    <cellStyle name="Gevolgde hyperlink" xfId="1361" builtinId="9" hidden="1"/>
    <cellStyle name="Gevolgde hyperlink" xfId="338" builtinId="9" hidden="1"/>
    <cellStyle name="Gevolgde hyperlink" xfId="18" builtinId="9" hidden="1"/>
    <cellStyle name="Gevolgde hyperlink" xfId="1447" builtinId="9" hidden="1"/>
    <cellStyle name="Gevolgde hyperlink" xfId="288" builtinId="9" hidden="1"/>
    <cellStyle name="Gevolgde hyperlink" xfId="1033" builtinId="9" hidden="1"/>
    <cellStyle name="Gevolgde hyperlink" xfId="855" builtinId="9" hidden="1"/>
    <cellStyle name="Gevolgde hyperlink" xfId="555" builtinId="9" hidden="1"/>
    <cellStyle name="Gevolgde hyperlink" xfId="1269" builtinId="9" hidden="1"/>
    <cellStyle name="Gevolgde hyperlink" xfId="1225" builtinId="9" hidden="1"/>
    <cellStyle name="Gevolgde hyperlink" xfId="509" builtinId="9" hidden="1"/>
    <cellStyle name="Gevolgde hyperlink" xfId="837" builtinId="9" hidden="1"/>
    <cellStyle name="Gevolgde hyperlink" xfId="1115" builtinId="9" hidden="1"/>
    <cellStyle name="Gevolgde hyperlink" xfId="739" builtinId="9" hidden="1"/>
    <cellStyle name="Gevolgde hyperlink" xfId="1635" builtinId="9" hidden="1"/>
    <cellStyle name="Gevolgde hyperlink" xfId="671" builtinId="9" hidden="1"/>
    <cellStyle name="Gevolgde hyperlink" xfId="1315" builtinId="9" hidden="1"/>
    <cellStyle name="Gevolgde hyperlink" xfId="68" builtinId="9" hidden="1"/>
    <cellStyle name="Gevolgde hyperlink" xfId="1195" builtinId="9" hidden="1"/>
    <cellStyle name="Gevolgde hyperlink" xfId="240" builtinId="9" hidden="1"/>
    <cellStyle name="Gevolgde hyperlink" xfId="781" builtinId="9" hidden="1"/>
    <cellStyle name="Gevolgde hyperlink" xfId="458" builtinId="9" hidden="1"/>
    <cellStyle name="Gevolgde hyperlink" xfId="1409" builtinId="9" hidden="1"/>
    <cellStyle name="Gevolgde hyperlink" xfId="1219" builtinId="9" hidden="1"/>
    <cellStyle name="Gevolgde hyperlink" xfId="314" builtinId="9" hidden="1"/>
    <cellStyle name="Gevolgde hyperlink" xfId="755" builtinId="9" hidden="1"/>
    <cellStyle name="Gevolgde hyperlink" xfId="1133" builtinId="9" hidden="1"/>
    <cellStyle name="Gevolgde hyperlink" xfId="276" builtinId="9" hidden="1"/>
    <cellStyle name="Gevolgde hyperlink" xfId="1547" builtinId="9" hidden="1"/>
    <cellStyle name="Gevolgde hyperlink" xfId="58" builtinId="9" hidden="1"/>
    <cellStyle name="Gevolgde hyperlink" xfId="1399" builtinId="9" hidden="1"/>
    <cellStyle name="Gevolgde hyperlink" xfId="336" builtinId="9" hidden="1"/>
    <cellStyle name="Gevolgde hyperlink" xfId="1049" builtinId="9" hidden="1"/>
    <cellStyle name="Gevolgde hyperlink" xfId="839" builtinId="9" hidden="1"/>
    <cellStyle name="Gevolgde hyperlink" xfId="1035" builtinId="9" hidden="1"/>
    <cellStyle name="Gevolgde hyperlink" xfId="1391" builtinId="9" hidden="1"/>
    <cellStyle name="Gevolgde hyperlink" xfId="929" builtinId="9" hidden="1"/>
    <cellStyle name="Gevolgde hyperlink" xfId="737" builtinId="9" hidden="1"/>
    <cellStyle name="Gevolgde hyperlink" xfId="1167" builtinId="9" hidden="1"/>
    <cellStyle name="Gevolgde hyperlink" xfId="1299" builtinId="9" hidden="1"/>
    <cellStyle name="Gevolgde hyperlink" xfId="14" builtinId="9" hidden="1"/>
    <cellStyle name="Gevolgde hyperlink" xfId="1101" builtinId="9" hidden="1"/>
    <cellStyle name="Gevolgde hyperlink" xfId="460" builtinId="9" hidden="1"/>
    <cellStyle name="Gevolgde hyperlink" xfId="204" builtinId="9" hidden="1"/>
    <cellStyle name="Gevolgde hyperlink" xfId="717" builtinId="9" hidden="1"/>
    <cellStyle name="Gevolgde hyperlink" xfId="210" builtinId="9" hidden="1"/>
    <cellStyle name="Gevolgde hyperlink" xfId="1555" builtinId="9" hidden="1"/>
    <cellStyle name="Gevolgde hyperlink" xfId="1487" builtinId="9" hidden="1"/>
    <cellStyle name="Gevolgde hyperlink" xfId="961" builtinId="9" hidden="1"/>
    <cellStyle name="Gevolgde hyperlink" xfId="673" builtinId="9" hidden="1"/>
    <cellStyle name="Gevolgde hyperlink" xfId="1135" builtinId="9" hidden="1"/>
    <cellStyle name="Gevolgde hyperlink" xfId="887" builtinId="9" hidden="1"/>
    <cellStyle name="Gevolgde hyperlink" xfId="1095" builtinId="9" hidden="1"/>
    <cellStyle name="Gevolgde hyperlink" xfId="665" builtinId="9" hidden="1"/>
    <cellStyle name="Gevolgde hyperlink" xfId="745" builtinId="9" hidden="1"/>
    <cellStyle name="Gevolgde hyperlink" xfId="1143" builtinId="9" hidden="1"/>
    <cellStyle name="Gevolgde hyperlink" xfId="266" builtinId="9" hidden="1"/>
    <cellStyle name="Gevolgde hyperlink" xfId="1557" builtinId="9" hidden="1"/>
    <cellStyle name="Gevolgde hyperlink" xfId="108" builtinId="9" hidden="1"/>
    <cellStyle name="Gevolgde hyperlink" xfId="1389" builtinId="9" hidden="1"/>
    <cellStyle name="Gevolgde hyperlink" xfId="434" builtinId="9" hidden="1"/>
    <cellStyle name="Gevolgde hyperlink" xfId="1339" builtinId="9" hidden="1"/>
    <cellStyle name="Gevolgde hyperlink" xfId="194" builtinId="9" hidden="1"/>
    <cellStyle name="Gevolgde hyperlink" xfId="1347" builtinId="9" hidden="1"/>
    <cellStyle name="Gevolgde hyperlink" xfId="104" builtinId="9" hidden="1"/>
    <cellStyle name="Gevolgde hyperlink" xfId="48" builtinId="9" hidden="1"/>
    <cellStyle name="Gevolgde hyperlink" xfId="969" builtinId="9" hidden="1"/>
    <cellStyle name="Gevolgde hyperlink" xfId="1333" builtinId="9" hidden="1"/>
    <cellStyle name="Gevolgde hyperlink" xfId="773" builtinId="9" hidden="1"/>
    <cellStyle name="Gevolgde hyperlink" xfId="1277" builtinId="9" hidden="1"/>
    <cellStyle name="Gevolgde hyperlink" xfId="927" builtinId="9" hidden="1"/>
    <cellStyle name="Gevolgde hyperlink" xfId="1469" builtinId="9" hidden="1"/>
    <cellStyle name="Gevolgde hyperlink" xfId="482" builtinId="9" hidden="1"/>
    <cellStyle name="Gevolgde hyperlink" xfId="1435" builtinId="9" hidden="1"/>
    <cellStyle name="Gevolgde hyperlink" xfId="581" builtinId="9" hidden="1"/>
    <cellStyle name="Gevolgde hyperlink" xfId="829" builtinId="9" hidden="1"/>
    <cellStyle name="Gevolgde hyperlink" xfId="150" builtinId="9" hidden="1"/>
    <cellStyle name="Gevolgde hyperlink" xfId="1525" builtinId="9" hidden="1"/>
    <cellStyle name="Gevolgde hyperlink" xfId="298" builtinId="9" hidden="1"/>
    <cellStyle name="Gevolgde hyperlink" xfId="1111" builtinId="9" hidden="1"/>
    <cellStyle name="Gevolgde hyperlink" xfId="777" builtinId="9" hidden="1"/>
    <cellStyle name="Gevolgde hyperlink" xfId="761" builtinId="9" hidden="1"/>
    <cellStyle name="Gevolgde hyperlink" xfId="1127" builtinId="9" hidden="1"/>
    <cellStyle name="Gevolgde hyperlink" xfId="282" builtinId="9" hidden="1"/>
    <cellStyle name="Gevolgde hyperlink" xfId="559" builtinId="9" hidden="1"/>
    <cellStyle name="Gevolgde hyperlink" xfId="1039" builtinId="9" hidden="1"/>
    <cellStyle name="Gevolgde hyperlink" xfId="661" builtinId="9" hidden="1"/>
    <cellStyle name="Gevolgde hyperlink" xfId="681" builtinId="9" hidden="1"/>
    <cellStyle name="Gevolgde hyperlink" xfId="1019" builtinId="9" hidden="1"/>
    <cellStyle name="Gevolgde hyperlink" xfId="579" builtinId="9" hidden="1"/>
    <cellStyle name="Gevolgde hyperlink" xfId="1155" builtinId="9" hidden="1"/>
    <cellStyle name="Gevolgde hyperlink" xfId="64" builtinId="9" hidden="1"/>
    <cellStyle name="Gevolgde hyperlink" xfId="959" builtinId="9" hidden="1"/>
    <cellStyle name="Gevolgde hyperlink" xfId="1535" builtinId="9" hidden="1"/>
    <cellStyle name="Gevolgde hyperlink" xfId="1217" builtinId="9" hidden="1"/>
    <cellStyle name="Gevolgde hyperlink" xfId="450" builtinId="9" hidden="1"/>
    <cellStyle name="Gevolgde hyperlink" xfId="1373" builtinId="9" hidden="1"/>
    <cellStyle name="Gevolgde hyperlink" xfId="220" builtinId="9" hidden="1"/>
    <cellStyle name="Gevolgde hyperlink" xfId="128" builtinId="9" hidden="1"/>
    <cellStyle name="Gevolgde hyperlink" xfId="1117" builtinId="9" hidden="1"/>
    <cellStyle name="Gevolgde hyperlink" xfId="925" builtinId="9" hidden="1"/>
    <cellStyle name="Gevolgde hyperlink" xfId="254" builtinId="9" hidden="1"/>
    <cellStyle name="Gevolgde hyperlink" xfId="1057" builtinId="9" hidden="1"/>
    <cellStyle name="Gevolgde hyperlink" xfId="1633" builtinId="9" hidden="1"/>
    <cellStyle name="Gevolgde hyperlink" xfId="767" builtinId="9" hidden="1"/>
    <cellStyle name="Gevolgde hyperlink" xfId="258" builtinId="9" hidden="1"/>
    <cellStyle name="Gevolgde hyperlink" xfId="1025" builtinId="9" hidden="1"/>
    <cellStyle name="Gevolgde hyperlink" xfId="1565" builtinId="9" hidden="1"/>
    <cellStyle name="Gevolgde hyperlink" xfId="134" builtinId="9" hidden="1"/>
    <cellStyle name="Gevolgde hyperlink" xfId="1207" builtinId="9" hidden="1"/>
    <cellStyle name="Gevolgde hyperlink" xfId="492" builtinId="9" hidden="1"/>
    <cellStyle name="Gevolgde hyperlink" xfId="1105" builtinId="9" hidden="1"/>
    <cellStyle name="Gevolgde hyperlink" xfId="851" builtinId="9" hidden="1"/>
    <cellStyle name="Gevolgde hyperlink" xfId="10" builtinId="9" hidden="1"/>
    <cellStyle name="Gevolgde hyperlink" xfId="1511" builtinId="9" hidden="1"/>
    <cellStyle name="Gevolgde hyperlink" xfId="368" builtinId="9" hidden="1"/>
    <cellStyle name="Gevolgde hyperlink" xfId="1097" builtinId="9" hidden="1"/>
    <cellStyle name="Gevolgde hyperlink" xfId="791" builtinId="9" hidden="1"/>
    <cellStyle name="Gevolgde hyperlink" xfId="683" builtinId="9" hidden="1"/>
    <cellStyle name="Gevolgde hyperlink" xfId="1205" builtinId="9" hidden="1"/>
    <cellStyle name="Gevolgde hyperlink" xfId="713" builtinId="9" hidden="1"/>
    <cellStyle name="Gevolgde hyperlink" xfId="380" builtinId="9" hidden="1"/>
    <cellStyle name="Gevolgde hyperlink" xfId="901" builtinId="9" hidden="1"/>
    <cellStyle name="Gevolgde hyperlink" xfId="1051" builtinId="9" hidden="1"/>
    <cellStyle name="Gevolgde hyperlink" xfId="867" builtinId="9" hidden="1"/>
    <cellStyle name="Gevolgde hyperlink" xfId="543" builtinId="9" hidden="1"/>
    <cellStyle name="Gevolgde hyperlink" xfId="607" builtinId="9" hidden="1"/>
    <cellStyle name="Gevolgde hyperlink" xfId="1059" builtinId="9" hidden="1"/>
    <cellStyle name="Gevolgde hyperlink" xfId="112" builtinId="9" hidden="1"/>
    <cellStyle name="Gevolgde hyperlink" xfId="939" builtinId="9" hidden="1"/>
    <cellStyle name="Gevolgde hyperlink" xfId="256" builtinId="9" hidden="1"/>
    <cellStyle name="Gevolgde hyperlink" xfId="1619" builtinId="9" hidden="1"/>
    <cellStyle name="Gevolgde hyperlink" xfId="438" builtinId="9" hidden="1"/>
    <cellStyle name="Gevolgde hyperlink" xfId="1697" builtinId="9" hidden="1"/>
    <cellStyle name="Gevolgde hyperlink" xfId="1539" builtinId="9" hidden="1"/>
    <cellStyle name="Gevolgde hyperlink" xfId="4" builtinId="9" hidden="1"/>
    <cellStyle name="Gevolgde hyperlink" xfId="819" builtinId="9" hidden="1"/>
    <cellStyle name="Gevolgde hyperlink" xfId="1069" builtinId="9" hidden="1"/>
    <cellStyle name="Gevolgde hyperlink" xfId="468" builtinId="9" hidden="1"/>
    <cellStyle name="Gevolgde hyperlink" xfId="1419" builtinId="9" hidden="1"/>
    <cellStyle name="Gevolgde hyperlink" xfId="46" builtinId="9" hidden="1"/>
    <cellStyle name="Gevolgde hyperlink" xfId="1527" builtinId="9" hidden="1"/>
    <cellStyle name="Gevolgde hyperlink" xfId="384" builtinId="9" hidden="1"/>
    <cellStyle name="Gevolgde hyperlink" xfId="1113" builtinId="9" hidden="1"/>
    <cellStyle name="Gevolgde hyperlink" xfId="775" builtinId="9" hidden="1"/>
    <cellStyle name="Gevolgde hyperlink" xfId="1675" builtinId="9" hidden="1"/>
    <cellStyle name="Gevolgde hyperlink" xfId="1519" builtinId="9" hidden="1"/>
    <cellStyle name="Gevolgde hyperlink" xfId="945" builtinId="9" hidden="1"/>
    <cellStyle name="Gevolgde hyperlink" xfId="657" builtinId="9" hidden="1"/>
    <cellStyle name="Gevolgde hyperlink" xfId="1103" builtinId="9" hidden="1"/>
    <cellStyle name="Gevolgde hyperlink" xfId="1235" builtinId="9" hidden="1"/>
    <cellStyle name="Gevolgde hyperlink" xfId="30" builtinId="9" hidden="1"/>
    <cellStyle name="Gevolgde hyperlink" xfId="1165" builtinId="9" hidden="1"/>
    <cellStyle name="Gevolgde hyperlink" xfId="116" builtinId="9" hidden="1"/>
    <cellStyle name="Gevolgde hyperlink" xfId="144" builtinId="9" hidden="1"/>
    <cellStyle name="Gevolgde hyperlink" xfId="653" builtinId="9" hidden="1"/>
    <cellStyle name="Gevolgde hyperlink" xfId="274" builtinId="9" hidden="1"/>
    <cellStyle name="Gevolgde hyperlink" xfId="1455" builtinId="9" hidden="1"/>
    <cellStyle name="Gevolgde hyperlink" xfId="1615" builtinId="9" hidden="1"/>
    <cellStyle name="Gevolgde hyperlink" xfId="881" builtinId="9" hidden="1"/>
    <cellStyle name="Gevolgde hyperlink" xfId="641" builtinId="9" hidden="1"/>
    <cellStyle name="Gevolgde hyperlink" xfId="1007" builtinId="9" hidden="1"/>
    <cellStyle name="Gevolgde hyperlink" xfId="1591" builtinId="9" hidden="1"/>
    <cellStyle name="Gevolgde hyperlink" xfId="1223" builtinId="9" hidden="1"/>
    <cellStyle name="Gevolgde hyperlink" xfId="601" builtinId="9" hidden="1"/>
    <cellStyle name="Gevolgde hyperlink" xfId="809" builtinId="9" hidden="1"/>
    <cellStyle name="Gevolgde hyperlink" xfId="1079" builtinId="9" hidden="1"/>
    <cellStyle name="Gevolgde hyperlink" xfId="394" builtinId="9" hidden="1"/>
    <cellStyle name="Gevolgde hyperlink" xfId="1493" builtinId="9" hidden="1"/>
    <cellStyle name="Gevolgde hyperlink" xfId="80" builtinId="9" hidden="1"/>
    <cellStyle name="Gevolgde hyperlink" xfId="1453" builtinId="9" hidden="1"/>
    <cellStyle name="Gevolgde hyperlink" xfId="306" builtinId="9" hidden="1"/>
    <cellStyle name="Gevolgde hyperlink" xfId="1659" builtinId="9" hidden="1"/>
    <cellStyle name="Gevolgde hyperlink" xfId="62" builtinId="9" hidden="1"/>
    <cellStyle name="Gevolgde hyperlink" xfId="1053" builtinId="9" hidden="1"/>
    <cellStyle name="Gevolgde hyperlink" xfId="1005" builtinId="9" hidden="1"/>
    <cellStyle name="Gevolgde hyperlink" xfId="102" builtinId="9" hidden="1"/>
    <cellStyle name="Gevolgde hyperlink" xfId="1289" builtinId="9" hidden="1"/>
    <cellStyle name="Gevolgde hyperlink" xfId="1013" builtinId="9" hidden="1"/>
    <cellStyle name="Gevolgde hyperlink" xfId="1029" builtinId="9" hidden="1"/>
    <cellStyle name="Gevolgde hyperlink" xfId="414" builtinId="9" hidden="1"/>
    <cellStyle name="Gevolgde hyperlink" xfId="991" builtinId="9" hidden="1"/>
    <cellStyle name="Gevolgde hyperlink" xfId="1597" builtinId="9" hidden="1"/>
    <cellStyle name="Gevolgde hyperlink" xfId="418" builtinId="9" hidden="1"/>
    <cellStyle name="Gevolgde hyperlink" xfId="1499" builtinId="9" hidden="1"/>
    <cellStyle name="Gevolgde hyperlink" xfId="452" builtinId="9" hidden="1"/>
    <cellStyle name="Gevolgde hyperlink" xfId="893" builtinId="9" hidden="1"/>
    <cellStyle name="Gevolgde hyperlink" xfId="234" builtinId="9" hidden="1"/>
    <cellStyle name="Gevolgde hyperlink" xfId="1707" builtinId="9" hidden="1"/>
    <cellStyle name="Gevolgde hyperlink" xfId="170" builtinId="9" hidden="1"/>
    <cellStyle name="Gevolgde hyperlink" xfId="1239" builtinId="9" hidden="1"/>
    <cellStyle name="Gevolgde hyperlink" xfId="585" builtinId="9" hidden="1"/>
    <cellStyle name="Gevolgde hyperlink" xfId="825" builtinId="9" hidden="1"/>
    <cellStyle name="Gevolgde hyperlink" xfId="1063" builtinId="9" hidden="1"/>
    <cellStyle name="Gevolgde hyperlink" xfId="410" builtinId="9" hidden="1"/>
    <cellStyle name="Gevolgde hyperlink" xfId="815" builtinId="9" hidden="1"/>
    <cellStyle name="Gevolgde hyperlink" xfId="783" builtinId="9" hidden="1"/>
    <cellStyle name="Gevolgde hyperlink" xfId="1173" builtinId="9" hidden="1"/>
    <cellStyle name="Gevolgde hyperlink" xfId="296" builtinId="9" hidden="1"/>
    <cellStyle name="Gevolgde hyperlink" xfId="1275" builtinId="9" hidden="1"/>
    <cellStyle name="Gevolgde hyperlink" xfId="66" builtinId="9" hidden="1"/>
    <cellStyle name="Gevolgde hyperlink" xfId="1153" builtinId="9" hidden="1"/>
    <cellStyle name="Gevolgde hyperlink" xfId="1151" builtinId="9" hidden="1"/>
    <cellStyle name="Gevolgde hyperlink" xfId="643" builtinId="9" hidden="1"/>
    <cellStyle name="Gevolgde hyperlink" xfId="989" builtinId="9" hidden="1"/>
    <cellStyle name="Gevolgde hyperlink" xfId="891" builtinId="9" hidden="1"/>
    <cellStyle name="Gevolgde hyperlink" xfId="1253" builtinId="9" hidden="1"/>
    <cellStyle name="Gevolgde hyperlink" xfId="933" builtinId="9" hidden="1"/>
    <cellStyle name="Gevolgde hyperlink" xfId="442" builtinId="9" hidden="1"/>
    <cellStyle name="Gevolgde hyperlink" xfId="198" builtinId="9" hidden="1"/>
    <cellStyle name="Gevolgde hyperlink" xfId="26" builtinId="9" hidden="1"/>
    <cellStyle name="Gevolgde hyperlink" xfId="549" builtinId="9" hidden="1"/>
    <cellStyle name="Gevolgde hyperlink" xfId="1701" builtinId="9" hidden="1"/>
    <cellStyle name="Gevolgde hyperlink" xfId="92" builtinId="9" hidden="1"/>
    <cellStyle name="Gevolgde hyperlink" xfId="1693" builtinId="9" hidden="1"/>
    <cellStyle name="Gevolgde hyperlink" xfId="2" builtinId="9" hidden="1"/>
    <cellStyle name="Gevolgde hyperlink" xfId="1537" builtinId="9" hidden="1"/>
    <cellStyle name="Gevolgde hyperlink" xfId="1281" builtinId="9" hidden="1"/>
    <cellStyle name="Gevolgde hyperlink" xfId="1309" builtinId="9" hidden="1"/>
    <cellStyle name="Gevolgde hyperlink" xfId="647" builtinId="9" hidden="1"/>
    <cellStyle name="Gevolgde hyperlink" xfId="951" builtinId="9" hidden="1"/>
    <cellStyle name="Gevolgde hyperlink" xfId="749" builtinId="9" hidden="1"/>
    <cellStyle name="Gevolgde hyperlink" xfId="865" builtinId="9" hidden="1"/>
    <cellStyle name="Gevolgde hyperlink" xfId="1107" builtinId="9" hidden="1"/>
    <cellStyle name="Gevolgde hyperlink" xfId="40" builtinId="9" hidden="1"/>
    <cellStyle name="Gevolgde hyperlink" xfId="1639" builtinId="9" hidden="1"/>
    <cellStyle name="Gevolgde hyperlink" xfId="416" builtinId="9" hidden="1"/>
    <cellStyle name="Gevolgde hyperlink" xfId="1161" builtinId="9" hidden="1"/>
    <cellStyle name="Gevolgde hyperlink" xfId="599" builtinId="9" hidden="1"/>
    <cellStyle name="Gevolgde hyperlink" xfId="811" builtinId="9" hidden="1"/>
    <cellStyle name="Gevolgde hyperlink" xfId="1077" builtinId="9" hidden="1"/>
    <cellStyle name="Gevolgde hyperlink" xfId="440" builtinId="9" hidden="1"/>
    <cellStyle name="Gevolgde hyperlink" xfId="316" builtinId="9" hidden="1"/>
    <cellStyle name="Gevolgde hyperlink" xfId="965" builtinId="9" hidden="1"/>
    <cellStyle name="Gevolgde hyperlink" xfId="923" builtinId="9" hidden="1"/>
    <cellStyle name="Gevolgde hyperlink" xfId="931" builtinId="9" hidden="1"/>
    <cellStyle name="Gevolgde hyperlink" xfId="478" builtinId="9" hidden="1"/>
    <cellStyle name="Gevolgde hyperlink" xfId="1119" builtinId="9" hidden="1"/>
    <cellStyle name="Gevolgde hyperlink" xfId="803" builtinId="9" hidden="1"/>
    <cellStyle name="Gevolgde hyperlink" xfId="444" builtinId="9" hidden="1"/>
    <cellStyle name="Gevolgde hyperlink" xfId="619" builtinId="9" hidden="1"/>
    <cellStyle name="Gevolgde hyperlink" xfId="328" builtinId="9" hidden="1"/>
    <cellStyle name="Gevolgde hyperlink" xfId="595" builtinId="9" hidden="1"/>
    <cellStyle name="Gevolgde hyperlink" xfId="1463" builtinId="9" hidden="1"/>
    <cellStyle name="Gevolgde hyperlink" xfId="993" builtinId="9" hidden="1"/>
    <cellStyle name="Gevolgde hyperlink" xfId="1501" builtinId="9" hidden="1"/>
    <cellStyle name="Gevolgde hyperlink" xfId="262" builtinId="9" hidden="1"/>
    <cellStyle name="Gevolgde hyperlink" xfId="947" builtinId="9" hidden="1"/>
    <cellStyle name="Gevolgde hyperlink" xfId="941" builtinId="9" hidden="1"/>
    <cellStyle name="Gevolgde hyperlink" xfId="533" builtinId="9" hidden="1"/>
    <cellStyle name="Gevolgde hyperlink" xfId="1355" builtinId="9" hidden="1"/>
    <cellStyle name="Gevolgde hyperlink" xfId="28" builtinId="9" hidden="1"/>
    <cellStyle name="Gevolgde hyperlink" xfId="1655" builtinId="9" hidden="1"/>
    <cellStyle name="Gevolgde hyperlink" xfId="424" builtinId="9" hidden="1"/>
    <cellStyle name="Gevolgde hyperlink" xfId="1177" builtinId="9" hidden="1"/>
    <cellStyle name="Gevolgde hyperlink" xfId="711" builtinId="9" hidden="1"/>
    <cellStyle name="Gevolgde hyperlink" xfId="1045" builtinId="9" hidden="1"/>
    <cellStyle name="Gevolgde hyperlink" xfId="1647" builtinId="9" hidden="1"/>
    <cellStyle name="Gevolgde hyperlink" xfId="817" builtinId="9" hidden="1"/>
    <cellStyle name="Gevolgde hyperlink" xfId="977" builtinId="9" hidden="1"/>
    <cellStyle name="Gevolgde hyperlink" xfId="975" builtinId="9" hidden="1"/>
    <cellStyle name="Gevolgde hyperlink" xfId="1171" builtinId="9" hidden="1"/>
    <cellStyle name="Gevolgde hyperlink" xfId="174" builtinId="9" hidden="1"/>
    <cellStyle name="Gevolgde hyperlink" xfId="1229" builtinId="9" hidden="1"/>
    <cellStyle name="Gevolgde hyperlink" xfId="172" builtinId="9" hidden="1"/>
    <cellStyle name="Gevolgde hyperlink" xfId="184" builtinId="9" hidden="1"/>
    <cellStyle name="Gevolgde hyperlink" xfId="589" builtinId="9" hidden="1"/>
    <cellStyle name="Gevolgde hyperlink" xfId="402" builtinId="9" hidden="1"/>
    <cellStyle name="Gevolgde hyperlink" xfId="849" builtinId="9" hidden="1"/>
    <cellStyle name="Gevolgde hyperlink" xfId="1679" builtinId="9" hidden="1"/>
    <cellStyle name="Gevolgde hyperlink" xfId="625" builtinId="9" hidden="1"/>
    <cellStyle name="Gevolgde hyperlink" xfId="1009" builtinId="9" hidden="1"/>
    <cellStyle name="Gevolgde hyperlink" xfId="943" builtinId="9" hidden="1"/>
    <cellStyle name="Gevolgde hyperlink" xfId="1129" builtinId="9" hidden="1"/>
    <cellStyle name="Gevolgde hyperlink" xfId="1351" builtinId="9" hidden="1"/>
    <cellStyle name="Gevolgde hyperlink" xfId="537" builtinId="9" hidden="1"/>
    <cellStyle name="Gevolgde hyperlink" xfId="873" builtinId="9" hidden="1"/>
    <cellStyle name="Gevolgde hyperlink" xfId="1015" builtinId="9" hidden="1"/>
    <cellStyle name="Gevolgde hyperlink" xfId="523" builtinId="9" hidden="1"/>
    <cellStyle name="Gevolgde hyperlink" xfId="1365" builtinId="9" hidden="1"/>
    <cellStyle name="Gevolgde hyperlink" xfId="156" builtinId="9" hidden="1"/>
    <cellStyle name="Gevolgde hyperlink" xfId="1645" builtinId="9" hidden="1"/>
    <cellStyle name="Gevolgde hyperlink" xfId="242" builtinId="9" hidden="1"/>
    <cellStyle name="Gevolgde hyperlink" xfId="1445" builtinId="9" hidden="1"/>
    <cellStyle name="Gevolgde hyperlink" xfId="382" builtinId="9" hidden="1"/>
    <cellStyle name="Gevolgde hyperlink" xfId="124" builtinId="9" hidden="1"/>
    <cellStyle name="Gevolgde hyperlink" xfId="1395" builtinId="9" hidden="1"/>
    <cellStyle name="Gevolgde hyperlink" xfId="422" builtinId="9" hidden="1"/>
    <cellStyle name="Gevolgde hyperlink" xfId="1545" builtinId="9" hidden="1"/>
    <cellStyle name="Gevolgde hyperlink" xfId="757" builtinId="9" hidden="1"/>
    <cellStyle name="Gevolgde hyperlink" xfId="1349" builtinId="9" hidden="1"/>
    <cellStyle name="Gevolgde hyperlink" xfId="94" builtinId="9" hidden="1"/>
    <cellStyle name="Gevolgde hyperlink" xfId="226" builtinId="9" hidden="1"/>
    <cellStyle name="Gevolgde hyperlink" xfId="1661" builtinId="9" hidden="1"/>
    <cellStyle name="Gevolgde hyperlink" xfId="354" builtinId="9" hidden="1"/>
    <cellStyle name="Gevolgde hyperlink" xfId="1627" builtinId="9" hidden="1"/>
    <cellStyle name="Gevolgde hyperlink" xfId="388" builtinId="9" hidden="1"/>
    <cellStyle name="Gevolgde hyperlink" xfId="957" builtinId="9" hidden="1"/>
    <cellStyle name="Gevolgde hyperlink" xfId="1259" builtinId="9" hidden="1"/>
    <cellStyle name="Gevolgde hyperlink" xfId="1643" builtinId="9" hidden="1"/>
    <cellStyle name="Gevolgde hyperlink" xfId="106" builtinId="9" hidden="1"/>
    <cellStyle name="Gevolgde hyperlink" xfId="1367" builtinId="9" hidden="1"/>
    <cellStyle name="Gevolgde hyperlink" xfId="521" builtinId="9" hidden="1"/>
    <cellStyle name="Gevolgde hyperlink" xfId="889" builtinId="9" hidden="1"/>
    <cellStyle name="Gevolgde hyperlink" xfId="1449" builtinId="9" hidden="1"/>
    <cellStyle name="Gevolgde hyperlink" xfId="715" builtinId="9" hidden="1"/>
    <cellStyle name="Gevolgde hyperlink" xfId="1261" builtinId="9" hidden="1"/>
    <cellStyle name="Gevolgde hyperlink" xfId="1617" builtinId="9" hidden="1"/>
    <cellStyle name="Gevolgde hyperlink" xfId="721" builtinId="9" hidden="1"/>
    <cellStyle name="Gevolgde hyperlink" xfId="1363" builtinId="9" hidden="1"/>
    <cellStyle name="Gevolgde hyperlink" xfId="90" builtinId="9" hidden="1"/>
    <cellStyle name="Gevolgde hyperlink" xfId="551" builtinId="9" hidden="1"/>
    <cellStyle name="Gevolgde hyperlink" xfId="935" builtinId="9" hidden="1"/>
    <cellStyle name="Gevolgde hyperlink" xfId="1071" builtinId="9" hidden="1"/>
    <cellStyle name="Gevolgde hyperlink" xfId="1429" builtinId="9" hidden="1"/>
    <cellStyle name="Gevolgde hyperlink" xfId="797" builtinId="9" hidden="1"/>
    <cellStyle name="Gevolgde hyperlink" xfId="250" builtinId="9" hidden="1"/>
    <cellStyle name="Gevolgde hyperlink" xfId="1241" builtinId="9" hidden="1"/>
    <cellStyle name="Gevolgde hyperlink" xfId="24" builtinId="9" hidden="1"/>
    <cellStyle name="Gevolgde hyperlink" xfId="1343" builtinId="9" hidden="1"/>
    <cellStyle name="Gevolgde hyperlink" xfId="1121" builtinId="9" hidden="1"/>
    <cellStyle name="Gevolgde hyperlink" xfId="1091" builtinId="9" hidden="1"/>
    <cellStyle name="Gevolgde hyperlink" xfId="1637" builtinId="9" hidden="1"/>
    <cellStyle name="Gevolgde hyperlink" xfId="903" builtinId="9" hidden="1"/>
    <cellStyle name="Gevolgde hyperlink" xfId="356" builtinId="9" hidden="1"/>
    <cellStyle name="Gevolgde hyperlink" xfId="408" builtinId="9" hidden="1"/>
    <cellStyle name="Gevolgde hyperlink" xfId="270" builtinId="9" hidden="1"/>
    <cellStyle name="Gevolgde hyperlink" xfId="474" builtinId="9" hidden="1"/>
    <cellStyle name="Gevolgde hyperlink" xfId="1383" builtinId="9" hidden="1"/>
    <cellStyle name="Gevolgde hyperlink" xfId="230" builtinId="9" hidden="1"/>
    <cellStyle name="Gevolgde hyperlink" xfId="525" builtinId="9" hidden="1"/>
    <cellStyle name="Gevolgde hyperlink" xfId="82" builtinId="9" hidden="1"/>
    <cellStyle name="Gevolgde hyperlink" xfId="753" builtinId="9" hidden="1"/>
    <cellStyle name="Gevolgde hyperlink" xfId="883" builtinId="9" hidden="1"/>
    <cellStyle name="Gevolgde hyperlink" xfId="136" builtinId="9" hidden="1"/>
    <cellStyle name="Gevolgde hyperlink" xfId="695" builtinId="9" hidden="1"/>
    <cellStyle name="Gevolgde hyperlink" xfId="1657" builtinId="9" hidden="1"/>
    <cellStyle name="Gevolgde hyperlink" xfId="312" builtinId="9" hidden="1"/>
    <cellStyle name="Gevolgde hyperlink" xfId="1353" builtinId="9" hidden="1"/>
    <cellStyle name="Gevolgde hyperlink" xfId="535" builtinId="9" hidden="1"/>
    <cellStyle name="Gevolgde hyperlink" xfId="875" builtinId="9" hidden="1"/>
    <cellStyle name="Gevolgde hyperlink" xfId="949" builtinId="9" hidden="1"/>
    <cellStyle name="Gevolgde hyperlink" xfId="697" builtinId="9" hidden="1"/>
    <cellStyle name="Gevolgde hyperlink" xfId="252" builtinId="9" hidden="1"/>
    <cellStyle name="Gevolgde hyperlink" xfId="1093" builtinId="9" hidden="1"/>
    <cellStyle name="Gevolgde hyperlink" xfId="859" builtinId="9" hidden="1"/>
    <cellStyle name="Gevolgde hyperlink" xfId="995" builtinId="9" hidden="1"/>
    <cellStyle name="Gevolgde hyperlink" xfId="350" builtinId="9" hidden="1"/>
    <cellStyle name="Gevolgde hyperlink" xfId="1055" builtinId="9" hidden="1"/>
    <cellStyle name="Gevolgde hyperlink" xfId="547" builtinId="9" hidden="1"/>
    <cellStyle name="Gevolgde hyperlink" xfId="701" builtinId="9" hidden="1"/>
    <cellStyle name="Gevolgde hyperlink" xfId="362" builtinId="9" hidden="1"/>
    <cellStyle name="Gevolgde hyperlink" xfId="633" builtinId="9" hidden="1"/>
    <cellStyle name="Gevolgde hyperlink" xfId="302" builtinId="9" hidden="1"/>
    <cellStyle name="Gevolgde hyperlink" xfId="937" builtinId="9" hidden="1"/>
    <cellStyle name="Gevolgde hyperlink" xfId="1249" builtinId="9" hidden="1"/>
    <cellStyle name="Gevolgde hyperlink" xfId="1181" builtinId="9" hidden="1"/>
    <cellStyle name="Gevolgde hyperlink" xfId="398" builtinId="9" hidden="1"/>
    <cellStyle name="Gevolgde hyperlink" xfId="1011" builtinId="9" hidden="1"/>
    <cellStyle name="Gevolgde hyperlink" xfId="813" builtinId="9" hidden="1"/>
    <cellStyle name="Gevolgde hyperlink" xfId="597" builtinId="9" hidden="1"/>
    <cellStyle name="Gevolgde hyperlink" xfId="1291" builtinId="9" hidden="1"/>
    <cellStyle name="Gevolgde hyperlink" xfId="118" builtinId="9" hidden="1"/>
    <cellStyle name="Gevolgde hyperlink" xfId="1641" builtinId="9" hidden="1"/>
    <cellStyle name="Gevolgde hyperlink" xfId="280" builtinId="9" hidden="1"/>
    <cellStyle name="Gevolgde hyperlink" xfId="1305" builtinId="9" hidden="1"/>
    <cellStyle name="Gevolgde hyperlink" xfId="519" builtinId="9" hidden="1"/>
    <cellStyle name="Gevolgde hyperlink" xfId="340" builtinId="9" hidden="1"/>
    <cellStyle name="Gevolgde hyperlink" xfId="1711" builtinId="9" hidden="1"/>
    <cellStyle name="Gevolgde hyperlink" xfId="529" builtinId="9" hidden="1"/>
    <cellStyle name="Gevolgde hyperlink" xfId="1041" builtinId="9" hidden="1"/>
    <cellStyle name="Gevolgde hyperlink" xfId="911" builtinId="9" hidden="1"/>
    <cellStyle name="Gevolgde hyperlink" xfId="1043" builtinId="9" hidden="1"/>
    <cellStyle name="Gevolgde hyperlink" xfId="238" builtinId="9" hidden="1"/>
    <cellStyle name="Gevolgde hyperlink" xfId="1357" builtinId="9" hidden="1"/>
    <cellStyle name="Gevolgde hyperlink" xfId="100" builtinId="9" hidden="1"/>
    <cellStyle name="Gevolgde hyperlink" xfId="72" builtinId="9" hidden="1"/>
    <cellStyle name="Gevolgde hyperlink" xfId="110" builtinId="9" hidden="1"/>
    <cellStyle name="Gevolgde hyperlink" xfId="466" builtinId="9" hidden="1"/>
    <cellStyle name="Gevolgde hyperlink" xfId="833" builtinId="9" hidden="1"/>
    <cellStyle name="Gevolgde hyperlink" xfId="1681" builtinId="9" hidden="1"/>
    <cellStyle name="Gevolgde hyperlink" xfId="545" builtinId="9" hidden="1"/>
    <cellStyle name="Gevolgde hyperlink" xfId="1137" builtinId="9" hidden="1"/>
    <cellStyle name="Gevolgde hyperlink" xfId="879" builtinId="9" hidden="1"/>
    <cellStyle name="Gevolgde hyperlink" xfId="488" builtinId="9" hidden="1"/>
    <cellStyle name="Gevolgde hyperlink" xfId="1479" builtinId="9" hidden="1"/>
    <cellStyle name="Gevolgde hyperlink" xfId="304" builtinId="9" hidden="1"/>
    <cellStyle name="Gevolgde hyperlink" xfId="1001" builtinId="9" hidden="1"/>
    <cellStyle name="Gevolgde hyperlink" xfId="823" builtinId="9" hidden="1"/>
    <cellStyle name="Gevolgde hyperlink" xfId="587" builtinId="9" hidden="1"/>
    <cellStyle name="Gevolgde hyperlink" xfId="1301" builtinId="9" hidden="1"/>
    <cellStyle name="Gevolgde hyperlink" xfId="164" builtinId="9" hidden="1"/>
    <cellStyle name="Gevolgde hyperlink" xfId="1709" builtinId="9" hidden="1"/>
    <cellStyle name="Gevolgde hyperlink" xfId="178" builtinId="9" hidden="1"/>
    <cellStyle name="Gevolgde hyperlink" xfId="1061" builtinId="9" hidden="1"/>
    <cellStyle name="Gevolgde hyperlink" xfId="703" builtinId="9" hidden="1"/>
    <cellStyle name="Gevolgde hyperlink" xfId="869" builtinId="9" hidden="1"/>
    <cellStyle name="Gevolgde hyperlink" xfId="370" builtinId="9" hidden="1"/>
    <cellStyle name="Gevolgde hyperlink" xfId="743" builtinId="9" hidden="1"/>
    <cellStyle name="Gevolgde hyperlink" xfId="1559" builtinId="9" hidden="1"/>
    <cellStyle name="Gevolgde hyperlink" xfId="629" builtinId="9" hidden="1"/>
    <cellStyle name="Gevolgde hyperlink" xfId="1605" builtinId="9" hidden="1"/>
    <cellStyle name="Gevolgde hyperlink" xfId="42" builtinId="9" hidden="1"/>
    <cellStyle name="Gevolgde hyperlink" xfId="162" builtinId="9" hidden="1"/>
    <cellStyle name="Gevolgde hyperlink" xfId="1699" builtinId="9" hidden="1"/>
    <cellStyle name="Gevolgde hyperlink" xfId="765" builtinId="9" hidden="1"/>
    <cellStyle name="Gevolgde hyperlink" xfId="1691" builtinId="9" hidden="1"/>
    <cellStyle name="Gevolgde hyperlink" xfId="324" builtinId="9" hidden="1"/>
    <cellStyle name="Gevolgde hyperlink" xfId="1085" builtinId="9" hidden="1"/>
    <cellStyle name="Gevolgde hyperlink" xfId="1653" builtinId="9" hidden="1"/>
    <cellStyle name="Gevolgde hyperlink" xfId="1579" builtinId="9" hidden="1"/>
    <cellStyle name="Gevolgde hyperlink" xfId="22" builtinId="9" hidden="1"/>
    <cellStyle name="Gevolgde hyperlink" xfId="1431" builtinId="9" hidden="1"/>
    <cellStyle name="Gevolgde hyperlink" xfId="456" builtinId="9" hidden="1"/>
    <cellStyle name="Gevolgde hyperlink" xfId="1017" builtinId="9" hidden="1"/>
    <cellStyle name="Gevolgde hyperlink" xfId="871" builtinId="9" hidden="1"/>
    <cellStyle name="Gevolgde hyperlink" xfId="372" builtinId="9" hidden="1"/>
    <cellStyle name="Gevolgde hyperlink" xfId="1583" builtinId="9" hidden="1"/>
    <cellStyle name="Gevolgde hyperlink" xfId="56" builtinId="9" hidden="1"/>
    <cellStyle name="Gevolgde hyperlink" xfId="1685" builtinId="9" hidden="1"/>
    <cellStyle name="Gevolgde hyperlink" xfId="432" builtinId="9" hidden="1"/>
    <cellStyle name="Gevolgde hyperlink" xfId="1381" builtinId="9" hidden="1"/>
    <cellStyle name="Gevolgde hyperlink" xfId="318" builtinId="9" hidden="1"/>
    <cellStyle name="Gevolgde hyperlink" xfId="1569" builtinId="9" hidden="1"/>
    <cellStyle name="Gevolgde hyperlink" xfId="895" builtinId="9" hidden="1"/>
    <cellStyle name="Gevolgde hyperlink" xfId="771" builtinId="9" hidden="1"/>
    <cellStyle name="Gevolgde hyperlink" xfId="733" builtinId="9" hidden="1"/>
    <cellStyle name="Gevolgde hyperlink" xfId="1083" builtinId="9" hidden="1"/>
    <cellStyle name="Gevolgde hyperlink" xfId="1189" builtinId="9" hidden="1"/>
    <cellStyle name="Gevolgde hyperlink" xfId="1317" builtinId="9" hidden="1"/>
    <cellStyle name="Gevolgde hyperlink" xfId="571" builtinId="9" hidden="1"/>
    <cellStyle name="Gevolgde hyperlink" xfId="60" builtinId="9" hidden="1"/>
    <cellStyle name="Gevolgde hyperlink" xfId="699" builtinId="9" hidden="1"/>
    <cellStyle name="Gevolgde hyperlink" xfId="677" builtinId="9" hidden="1"/>
    <cellStyle name="Gevolgde hyperlink" xfId="1467" builtinId="9" hidden="1"/>
    <cellStyle name="Gevolgde hyperlink" xfId="176" builtinId="9" hidden="1"/>
    <cellStyle name="Gevolgde hyperlink" xfId="1475" builtinId="9" hidden="1"/>
    <cellStyle name="Gevolgde hyperlink" xfId="190" builtinId="9" hidden="1"/>
    <cellStyle name="Gevolgde hyperlink" xfId="1665" builtinId="9" hidden="1"/>
    <cellStyle name="Gevolgde hyperlink" xfId="1503" builtinId="9" hidden="1"/>
    <cellStyle name="Gevolgde hyperlink" xfId="541" builtinId="9" hidden="1"/>
    <cellStyle name="Gevolgde hyperlink" xfId="1159" builtinId="9" hidden="1"/>
    <cellStyle name="Gevolgde hyperlink" xfId="182" builtinId="9" hidden="1"/>
    <cellStyle name="Gevolgde hyperlink" xfId="1517" builtinId="9" hidden="1"/>
    <cellStyle name="Gevolgde hyperlink" xfId="561" builtinId="9" hidden="1"/>
    <cellStyle name="Gevolgde hyperlink" xfId="1549" builtinId="9" hidden="1"/>
    <cellStyle name="Gevolgde hyperlink" xfId="294" builtinId="9" hidden="1"/>
    <cellStyle name="Gevolgde hyperlink" xfId="1593" builtinId="9" hidden="1"/>
    <cellStyle name="Gevolgde hyperlink" xfId="216" builtinId="9" hidden="1"/>
    <cellStyle name="Gevolgde hyperlink" xfId="1417" builtinId="9" hidden="1"/>
    <cellStyle name="Gevolgde hyperlink" xfId="470" builtinId="9" hidden="1"/>
    <cellStyle name="Gevolgde hyperlink" xfId="1003" builtinId="9" hidden="1"/>
    <cellStyle name="Gevolgde hyperlink" xfId="885" builtinId="9" hidden="1"/>
    <cellStyle name="Gevolgde hyperlink" xfId="1209" builtinId="9" hidden="1"/>
    <cellStyle name="Gevolgde hyperlink" xfId="152" builtinId="9" hidden="1"/>
    <cellStyle name="Gevolgde hyperlink" xfId="1221" builtinId="9" hidden="1"/>
    <cellStyle name="Gevolgde hyperlink" xfId="795" builtinId="9" hidden="1"/>
    <cellStyle name="Gevolgde hyperlink" xfId="1123" builtinId="9" hidden="1"/>
    <cellStyle name="Gevolgde hyperlink" xfId="222" builtinId="9" hidden="1"/>
    <cellStyle name="Gevolgde hyperlink" xfId="1311" builtinId="9" hidden="1"/>
    <cellStyle name="Gevolgde hyperlink" xfId="290" builtinId="9" hidden="1"/>
    <cellStyle name="Gevolgde hyperlink" xfId="1021" builtinId="9" hidden="1"/>
    <cellStyle name="Gevolgde hyperlink" xfId="36" builtinId="9" hidden="1"/>
    <cellStyle name="Gevolgde hyperlink" xfId="953" builtinId="9" hidden="1"/>
    <cellStyle name="Gevolgde hyperlink" xfId="1327" builtinId="9" hidden="1"/>
    <cellStyle name="Gevolgde hyperlink" xfId="208" builtinId="9" hidden="1"/>
    <cellStyle name="Gevolgde hyperlink" xfId="1441" builtinId="9" hidden="1"/>
    <cellStyle name="Gevolgde hyperlink" xfId="861" builtinId="9" hidden="1"/>
    <cellStyle name="Gevolgde hyperlink" xfId="334" builtinId="9" hidden="1"/>
    <cellStyle name="Gevolgde hyperlink" xfId="1075" builtinId="9" hidden="1"/>
    <cellStyle name="Gevolgde hyperlink" xfId="685" builtinId="9" hidden="1"/>
    <cellStyle name="Gevolgde hyperlink" xfId="725" builtinId="9" hidden="1"/>
    <cellStyle name="Gevolgde hyperlink" xfId="1163" builtinId="9" hidden="1"/>
    <cellStyle name="Gevolgde hyperlink" xfId="310" builtinId="9" hidden="1"/>
    <cellStyle name="Gevolgde hyperlink" xfId="1577" builtinId="9" hidden="1"/>
    <cellStyle name="Gevolgde hyperlink" xfId="264" builtinId="9" hidden="1"/>
    <cellStyle name="Gevolgde hyperlink" xfId="1369" builtinId="9" hidden="1"/>
    <cellStyle name="Gevolgde hyperlink" xfId="454" builtinId="9" hidden="1"/>
    <cellStyle name="Gevolgde hyperlink" xfId="120" builtinId="9" hidden="1"/>
    <cellStyle name="Gevolgde hyperlink" xfId="1649" builtinId="9" hidden="1"/>
    <cellStyle name="Gevolgde hyperlink" xfId="577" builtinId="9" hidden="1"/>
    <cellStyle name="Gevolgde hyperlink" xfId="1169" builtinId="9" hidden="1"/>
    <cellStyle name="Gevolgde hyperlink" xfId="847" builtinId="9" hidden="1"/>
    <cellStyle name="Gevolgde hyperlink" xfId="979" builtinId="9" hidden="1"/>
    <cellStyle name="Gevolgde hyperlink" xfId="366" builtinId="9" hidden="1"/>
    <cellStyle name="Gevolgde hyperlink" xfId="1421" builtinId="9" hidden="1"/>
    <cellStyle name="Gevolgde hyperlink" xfId="308" builtinId="9" hidden="1"/>
    <cellStyle name="Gevolgde hyperlink" xfId="909" builtinId="9" hidden="1"/>
    <cellStyle name="Gevolgde hyperlink" xfId="751" builtinId="9" hidden="1"/>
    <cellStyle name="Gevolgde hyperlink" xfId="531" builtinId="9" hidden="1"/>
    <cellStyle name="Gevolgde hyperlink" xfId="1423" builtinId="9" hidden="1"/>
    <cellStyle name="Gevolgde hyperlink" xfId="1553" builtinId="9" hidden="1"/>
    <cellStyle name="Gevolgde hyperlink" xfId="593" builtinId="9" hidden="1"/>
    <cellStyle name="Gevolgde hyperlink" xfId="1201" builtinId="9" hidden="1"/>
    <cellStyle name="Gevolgde hyperlink" xfId="78" builtinId="9" hidden="1"/>
    <cellStyle name="Gevolgde hyperlink" xfId="232" builtinId="9" hidden="1"/>
    <cellStyle name="Gevolgde hyperlink" xfId="1543" builtinId="9" hidden="1"/>
    <cellStyle name="Gevolgde hyperlink" xfId="352" builtinId="9" hidden="1"/>
    <cellStyle name="Gevolgde hyperlink" xfId="1065" builtinId="9" hidden="1"/>
    <cellStyle name="Gevolgde hyperlink" xfId="759" builtinId="9" hidden="1"/>
    <cellStyle name="Gevolgde hyperlink" xfId="651" builtinId="9" hidden="1"/>
    <cellStyle name="Gevolgde hyperlink" xfId="1237" builtinId="9" hidden="1"/>
    <cellStyle name="Gevolgde hyperlink" xfId="300" builtinId="9" hidden="1"/>
    <cellStyle name="Gevolgde hyperlink" xfId="1587" builtinId="9" hidden="1"/>
    <cellStyle name="Gevolgde hyperlink" xfId="32" builtinId="9" hidden="1"/>
    <cellStyle name="Gevolgde hyperlink" xfId="741" builtinId="9" hidden="1"/>
    <cellStyle name="Gevolgde hyperlink" xfId="1023" builtinId="9" hidden="1"/>
    <cellStyle name="Gevolgde hyperlink" xfId="1531" builtinId="9" hidden="1"/>
    <cellStyle name="Gevolgde hyperlink" xfId="527" builtinId="9" hidden="1"/>
    <cellStyle name="Gevolgde hyperlink" xfId="999" builtinId="9" hidden="1"/>
    <cellStyle name="Gevolgde hyperlink" xfId="1303" builtinId="9" hidden="1"/>
    <cellStyle name="Gevolgde hyperlink" xfId="747" builtinId="9" hidden="1"/>
    <cellStyle name="Gevolgde hyperlink" xfId="1563" builtinId="9" hidden="1"/>
    <cellStyle name="Gevolgde hyperlink" xfId="286" builtinId="9" hidden="1"/>
    <cellStyle name="Gevolgde hyperlink" xfId="98" builtinId="9" hidden="1"/>
    <cellStyle name="Gevolgde hyperlink" xfId="1507" builtinId="9" hidden="1"/>
    <cellStyle name="Gevolgde hyperlink" xfId="148" builtinId="9" hidden="1"/>
    <cellStyle name="Gevolgde hyperlink" xfId="1669" builtinId="9" hidden="1"/>
    <cellStyle name="Gevolgde hyperlink" xfId="196" builtinId="9" hidden="1"/>
    <cellStyle name="Gevolgde hyperlink" xfId="1149" builtinId="9" hidden="1"/>
    <cellStyle name="Gevolgde hyperlink" xfId="1141" builtinId="9" hidden="1"/>
    <cellStyle name="Gevolgde hyperlink" xfId="1451" builtinId="9" hidden="1"/>
    <cellStyle name="Gevolgde hyperlink" xfId="20" builtinId="9" hidden="1"/>
    <cellStyle name="Gevolgde hyperlink" xfId="1495" builtinId="9" hidden="1"/>
    <cellStyle name="Gevolgde hyperlink" xfId="360" builtinId="9" hidden="1"/>
    <cellStyle name="Gevolgde hyperlink" xfId="1081" builtinId="9" hidden="1"/>
    <cellStyle name="Gevolgde hyperlink" xfId="807" builtinId="9" hidden="1"/>
    <cellStyle name="Gevolgde hyperlink" xfId="84" builtinId="9" hidden="1"/>
    <cellStyle name="Gevolgde hyperlink" xfId="1585" builtinId="9" hidden="1"/>
    <cellStyle name="Gevolgde hyperlink" xfId="114" builtinId="9" hidden="1"/>
    <cellStyle name="Gevolgde hyperlink" xfId="1227" builtinId="9" hidden="1"/>
    <cellStyle name="Gevolgde hyperlink" xfId="472" builtinId="9" hidden="1"/>
    <cellStyle name="Gevolgde hyperlink" xfId="1125" builtinId="9" hidden="1"/>
    <cellStyle name="Gevolgde hyperlink" xfId="831" builtinId="9" hidden="1"/>
    <cellStyle name="Gevolgde hyperlink" xfId="963" builtinId="9" hidden="1"/>
    <cellStyle name="Gevolgde hyperlink" xfId="126" builtinId="9" hidden="1"/>
    <cellStyle name="Gevolgde hyperlink" xfId="1345" builtinId="9" hidden="1"/>
    <cellStyle name="Gevolgde hyperlink" xfId="1599" builtinId="9" hidden="1"/>
    <cellStyle name="Gevolgde hyperlink" xfId="1631" builtinId="9" hidden="1"/>
    <cellStyle name="Gevolgde hyperlink" xfId="1411" builtinId="9" hidden="1"/>
    <cellStyle name="Gevolgde hyperlink" xfId="1629" builtinId="9" hidden="1"/>
    <cellStyle name="Gevolgde hyperlink" xfId="412" builtinId="9" hidden="1"/>
    <cellStyle name="Gevolgde hyperlink" xfId="76" builtinId="9" hidden="1"/>
    <cellStyle name="Gevolgde hyperlink" xfId="1667" builtinId="9" hidden="1"/>
    <cellStyle name="Gevolgde hyperlink" xfId="669" builtinId="9" hidden="1"/>
    <cellStyle name="Gevolgde hyperlink" xfId="1215" builtinId="9" hidden="1"/>
    <cellStyle name="Gevolgde hyperlink" xfId="1313" builtinId="9" hidden="1"/>
    <cellStyle name="Gevolgde hyperlink" xfId="1473" builtinId="9" hidden="1"/>
    <cellStyle name="Gevolgde hyperlink" xfId="511" builtinId="9" hidden="1"/>
    <cellStyle name="Gevolgde hyperlink" xfId="707" builtinId="9" hidden="1"/>
    <cellStyle name="Gevolgde hyperlink" xfId="1663" builtinId="9" hidden="1"/>
    <cellStyle name="Gevolgde hyperlink" xfId="284" builtinId="9" hidden="1"/>
    <cellStyle name="Gevolgde hyperlink" xfId="1671" builtinId="9" hidden="1"/>
    <cellStyle name="Gevolgde hyperlink" xfId="8" builtinId="9" hidden="1"/>
    <cellStyle name="Gevolgde hyperlink" xfId="1651" builtinId="9" hidden="1"/>
    <cellStyle name="Gevolgde hyperlink" xfId="689" builtinId="9" hidden="1"/>
    <cellStyle name="Gevolgde hyperlink" xfId="1293" builtinId="9" hidden="1"/>
    <cellStyle name="Gevolgde hyperlink" xfId="358" builtinId="9" hidden="1"/>
    <cellStyle name="Gevolgde hyperlink" xfId="1465" builtinId="9" hidden="1"/>
    <cellStyle name="Gevolgde hyperlink" xfId="200" builtinId="9" hidden="1"/>
    <cellStyle name="Gevolgde hyperlink" xfId="1481" builtinId="9" hidden="1"/>
    <cellStyle name="Gevolgde hyperlink" xfId="342" builtinId="9" hidden="1"/>
    <cellStyle name="Gevolgde hyperlink" xfId="1067" builtinId="9" hidden="1"/>
    <cellStyle name="Gevolgde hyperlink" xfId="821" builtinId="9" hidden="1"/>
    <cellStyle name="Gevolgde hyperlink" xfId="1191" builtinId="9" hidden="1"/>
    <cellStyle name="Gevolgde hyperlink" xfId="188" builtinId="9" hidden="1"/>
    <cellStyle name="Gevolgde hyperlink" xfId="1285" builtinId="9" hidden="1"/>
    <cellStyle name="Gevolgde hyperlink" xfId="667" builtinId="9" hidden="1"/>
    <cellStyle name="Gevolgde hyperlink" xfId="1187" builtinId="9" hidden="1"/>
    <cellStyle name="Gevolgde hyperlink" xfId="158" builtinId="9" hidden="1"/>
    <cellStyle name="Gevolgde hyperlink" xfId="1375" builtinId="9" hidden="1"/>
    <cellStyle name="Gevolgde hyperlink" xfId="1243" builtinId="9" hidden="1"/>
    <cellStyle name="Gevolgde hyperlink" xfId="218" builtinId="9" hidden="1"/>
    <cellStyle name="Gevolgde hyperlink" xfId="86" builtinId="9" hidden="1"/>
    <cellStyle name="Gevolgde hyperlink" xfId="1273" builtinId="9" hidden="1"/>
    <cellStyle name="Gevolgde hyperlink" xfId="1073" builtinId="9" hidden="1"/>
    <cellStyle name="Gevolgde hyperlink" xfId="985" builtinId="9" hidden="1"/>
    <cellStyle name="Gevolgde hyperlink" xfId="1439" builtinId="9" hidden="1"/>
    <cellStyle name="Gevolgde hyperlink" xfId="476" builtinId="9" hidden="1"/>
    <cellStyle name="Gevolgde hyperlink" xfId="206" builtinId="9" hidden="1"/>
    <cellStyle name="Gevolgde hyperlink" xfId="1267" builtinId="9" hidden="1"/>
    <cellStyle name="Gevolgde hyperlink" xfId="621" builtinId="9" hidden="1"/>
    <cellStyle name="Gevolgde hyperlink" xfId="789" builtinId="9" hidden="1"/>
    <cellStyle name="Gevolgde hyperlink" xfId="1099" builtinId="9" hidden="1"/>
    <cellStyle name="Gevolgde hyperlink" xfId="374" builtinId="9" hidden="1"/>
    <cellStyle name="Gevolgde hyperlink" xfId="1513" builtinId="9" hidden="1"/>
    <cellStyle name="Gevolgde hyperlink" xfId="224" builtinId="9" hidden="1"/>
    <cellStyle name="Gevolgde hyperlink" xfId="1561" builtinId="9" hidden="1"/>
    <cellStyle name="Gevolgde hyperlink" xfId="583" builtinId="9" hidden="1"/>
    <cellStyle name="Gevolgde hyperlink" xfId="877" builtinId="9" hidden="1"/>
    <cellStyle name="Gevolgde hyperlink" xfId="1521" builtinId="9" hidden="1"/>
    <cellStyle name="Gevolgde hyperlink" xfId="609" builtinId="9" hidden="1"/>
    <cellStyle name="Gevolgde hyperlink" xfId="1233" builtinId="9" hidden="1"/>
    <cellStyle name="Gevolgde hyperlink" xfId="719" builtinId="9" hidden="1"/>
    <cellStyle name="Gevolgde hyperlink" xfId="915" builtinId="9" hidden="1"/>
    <cellStyle name="Gevolgde hyperlink" xfId="430" builtinId="9" hidden="1"/>
    <cellStyle name="Gevolgde hyperlink" xfId="1485" builtinId="9" hidden="1"/>
    <cellStyle name="Gevolgde hyperlink" xfId="244" builtinId="9" hidden="1"/>
    <cellStyle name="Gevolgde hyperlink" xfId="1683" builtinId="9" hidden="1"/>
    <cellStyle name="Gevolgde hyperlink" xfId="687" builtinId="9" hidden="1"/>
    <cellStyle name="Gevolgde hyperlink" xfId="659" builtinId="9" hidden="1"/>
    <cellStyle name="Gevolgde hyperlink" xfId="462" builtinId="9" hidden="1"/>
    <cellStyle name="Gevolgde hyperlink" xfId="1489" builtinId="9" hidden="1"/>
    <cellStyle name="Gevolgde hyperlink" xfId="513" builtinId="9" hidden="1"/>
    <cellStyle name="Gevolgde hyperlink" xfId="1265" builtinId="9" hidden="1"/>
    <cellStyle name="Gevolgde hyperlink" xfId="499" builtinId="9" hidden="1"/>
    <cellStyle name="Gevolgde hyperlink" xfId="793" builtinId="9" hidden="1"/>
    <cellStyle name="Gevolgde hyperlink" xfId="1607" builtinId="9" hidden="1"/>
    <cellStyle name="Gevolgde hyperlink" xfId="392" builtinId="9" hidden="1"/>
    <cellStyle name="Gevolgde hyperlink" xfId="1257" builtinId="9" hidden="1"/>
    <cellStyle name="Gevolgde hyperlink" xfId="631" builtinId="9" hidden="1"/>
    <cellStyle name="Gevolgde hyperlink" xfId="779" builtinId="9" hidden="1"/>
    <cellStyle name="Gevolgde hyperlink" xfId="1109" builtinId="9" hidden="1"/>
    <cellStyle name="Gevolgde hyperlink" xfId="364" builtinId="9" hidden="1"/>
    <cellStyle name="Gevolgde hyperlink" xfId="1523" builtinId="9" hidden="1"/>
    <cellStyle name="Gevolgde hyperlink" xfId="38" builtinId="9" hidden="1"/>
    <cellStyle name="Gevolgde hyperlink" xfId="420" builtinId="9" hidden="1"/>
    <cellStyle name="Gevolgde hyperlink" xfId="1407" builtinId="9" hidden="1"/>
    <cellStyle name="Gevolgde hyperlink" xfId="507" builtinId="9" hidden="1"/>
    <cellStyle name="Gevolgde hyperlink" xfId="1551" builtinId="9" hidden="1"/>
    <cellStyle name="Gevolgde hyperlink" xfId="1319" builtinId="9" hidden="1"/>
    <cellStyle name="Gevolgde hyperlink" xfId="983" builtinId="9" hidden="1"/>
    <cellStyle name="Gevolgde hyperlink" xfId="1175" builtinId="9" hidden="1"/>
    <cellStyle name="Gevolgde hyperlink" xfId="1307" builtinId="9" hidden="1"/>
    <cellStyle name="Gevolgde hyperlink" xfId="799" builtinId="9" hidden="1"/>
    <cellStyle name="Gevolgde hyperlink" xfId="12" builtinId="9" hidden="1"/>
    <cellStyle name="Gevolgde hyperlink" xfId="1443" builtinId="9" hidden="1"/>
    <cellStyle name="Gevolgde hyperlink" xfId="1157" builtinId="9" hidden="1"/>
    <cellStyle name="Gevolgde hyperlink" xfId="1541" builtinId="9" hidden="1"/>
    <cellStyle name="Gevolgde hyperlink" xfId="192" builtinId="9" hidden="1"/>
    <cellStyle name="Gevolgde hyperlink" xfId="1213" builtinId="9" hidden="1"/>
    <cellStyle name="Gevolgde hyperlink" xfId="501" builtinId="9" hidden="1"/>
    <cellStyle name="Gevolgde hyperlink" xfId="1387" builtinId="9" hidden="1"/>
    <cellStyle name="Gevolgde hyperlink" xfId="50" builtinId="9" hidden="1"/>
    <cellStyle name="Gevolgde hyperlink" xfId="1623" builtinId="9" hidden="1"/>
    <cellStyle name="Gevolgde hyperlink" xfId="400" builtinId="9" hidden="1"/>
    <cellStyle name="Gevolgde hyperlink" xfId="1145" builtinId="9" hidden="1"/>
    <cellStyle name="Gevolgde hyperlink" xfId="615" builtinId="9" hidden="1"/>
    <cellStyle name="Gevolgde hyperlink" xfId="268" builtinId="9" hidden="1"/>
    <cellStyle name="Gevolgde hyperlink" xfId="1329" builtinId="9" hidden="1"/>
    <cellStyle name="Gevolgde hyperlink" xfId="627" builtinId="9" hidden="1"/>
    <cellStyle name="Gevolgde hyperlink" xfId="971" builtinId="9" hidden="1"/>
    <cellStyle name="Gevolgde hyperlink" xfId="729" builtinId="9" hidden="1"/>
    <cellStyle name="Gevolgde hyperlink" xfId="613" builtinId="9" hidden="1"/>
    <cellStyle name="Gevolgde hyperlink" xfId="1087" builtinId="9" hidden="1"/>
    <cellStyle name="Gevolgde hyperlink" xfId="1471" builtinId="9" hidden="1"/>
    <cellStyle name="Gevolgde hyperlink" xfId="639" builtinId="9" hidden="1"/>
    <cellStyle name="Gevolgde hyperlink" xfId="1027" builtinId="9" hidden="1"/>
    <cellStyle name="Gevolgde hyperlink" xfId="605" builtinId="9" hidden="1"/>
    <cellStyle name="Gevolgde hyperlink" xfId="1211" builtinId="9" hidden="1"/>
    <cellStyle name="Gevolgde hyperlink" xfId="997" builtinId="9" hidden="1"/>
    <cellStyle name="Gevolgde hyperlink" xfId="1595" builtinId="9" hidden="1"/>
    <cellStyle name="Gevolgde hyperlink" xfId="186" builtinId="9" hidden="1"/>
    <cellStyle name="Gevolgde hyperlink" xfId="70" builtinId="9" hidden="1"/>
    <cellStyle name="Gevolgde hyperlink" xfId="1147" builtinId="9" hidden="1"/>
    <cellStyle name="Gevolgde hyperlink" xfId="805" builtinId="9" hidden="1"/>
    <cellStyle name="Gevolgde hyperlink" xfId="1403" builtinId="9" hidden="1"/>
    <cellStyle name="Gevolgde hyperlink" xfId="348" builtinId="9" hidden="1"/>
    <cellStyle name="Gevolgde hyperlink" xfId="1283" builtinId="9" hidden="1"/>
    <cellStyle name="Gevolgde hyperlink" xfId="446" builtinId="9" hidden="1"/>
    <cellStyle name="Gevolgde hyperlink" xfId="1567" builtinId="9" hidden="1"/>
    <cellStyle name="Gevolgde hyperlink" xfId="1601" builtinId="9" hidden="1"/>
    <cellStyle name="Gevolgde hyperlink" xfId="168" builtinId="9" hidden="1"/>
    <cellStyle name="Gevolgde hyperlink" xfId="1497" builtinId="9" hidden="1"/>
    <cellStyle name="Gevolgde hyperlink" xfId="202" builtinId="9" hidden="1"/>
    <cellStyle name="Gevolgde hyperlink" xfId="1139" builtinId="9" hidden="1"/>
    <cellStyle name="Gevolgde hyperlink" xfId="897" builtinId="9" hidden="1"/>
    <cellStyle name="Gevolgde hyperlink" xfId="1037" builtinId="9" hidden="1"/>
    <cellStyle name="Gevolgde hyperlink" xfId="486" builtinId="9" hidden="1"/>
    <cellStyle name="Gevolgde hyperlink" xfId="1401" builtinId="9" hidden="1"/>
    <cellStyle name="Gevolgde hyperlink" xfId="248" builtinId="9" hidden="1"/>
    <cellStyle name="Gevolgde hyperlink" xfId="1609" builtinId="9" hidden="1"/>
    <cellStyle name="Gevolgde hyperlink" xfId="278" builtinId="9" hidden="1"/>
    <cellStyle name="Gevolgde hyperlink" xfId="1131" builtinId="9" hidden="1"/>
    <cellStyle name="Gevolgde hyperlink" xfId="693" builtinId="9" hidden="1"/>
    <cellStyle name="Gevolgde hyperlink" xfId="679" builtinId="9" hidden="1"/>
    <cellStyle name="Gevolgde hyperlink" xfId="96" builtinId="9" hidden="1"/>
    <cellStyle name="Gevolgde hyperlink" xfId="1413" builtinId="9" hidden="1"/>
    <cellStyle name="Gevolgde hyperlink" xfId="603" builtinId="9" hidden="1"/>
    <cellStyle name="Gevolgde hyperlink" xfId="1251" builtinId="9" hidden="1"/>
    <cellStyle name="Gevolgde hyperlink" xfId="44" builtinId="9" hidden="1"/>
    <cellStyle name="Gevolgde hyperlink" xfId="1247" builtinId="9" hidden="1"/>
    <cellStyle name="Gevolgde hyperlink" xfId="731" builtinId="9" hidden="1"/>
    <cellStyle name="Gevolgde hyperlink" xfId="1703" builtinId="9" hidden="1"/>
    <cellStyle name="Gevolgde hyperlink" xfId="406" builtinId="9" hidden="1"/>
    <cellStyle name="Gevolgde hyperlink" xfId="1529" builtinId="9" hidden="1"/>
    <cellStyle name="Gevolgde hyperlink" xfId="496" builtinId="9" hidden="1"/>
    <cellStyle name="Gevolgde hyperlink" xfId="1415" builtinId="9" hidden="1"/>
    <cellStyle name="Gevolgde hyperlink" xfId="1695" builtinId="9" hidden="1"/>
    <cellStyle name="Gevolgde hyperlink" xfId="132" builtinId="9" hidden="1"/>
    <cellStyle name="Gevolgde hyperlink" xfId="142" builtinId="9" hidden="1"/>
    <cellStyle name="Gevolgde hyperlink" xfId="1331" builtinId="9" hidden="1"/>
    <cellStyle name="Gevolgde hyperlink" xfId="557" builtinId="9" hidden="1"/>
    <cellStyle name="Gevolgde hyperlink" xfId="853" builtinId="9" hidden="1"/>
    <cellStyle name="Gevolgde hyperlink" xfId="907" builtinId="9" hidden="1"/>
    <cellStyle name="Gevolgde hyperlink" xfId="503" builtinId="9" hidden="1"/>
    <cellStyle name="Gevolgde hyperlink" xfId="1385" builtinId="9" hidden="1"/>
    <cellStyle name="Gevolgde hyperlink" xfId="272" builtinId="9" hidden="1"/>
    <cellStyle name="Gevolgde hyperlink" xfId="1625" builtinId="9" hidden="1"/>
    <cellStyle name="Gevolgde hyperlink" xfId="1287" builtinId="9" hidden="1"/>
    <cellStyle name="Gevolgde hyperlink" xfId="1581" builtinId="9" hidden="1"/>
    <cellStyle name="Gevolgde hyperlink" xfId="1457" builtinId="9" hidden="1"/>
    <cellStyle name="Gevolgde hyperlink" xfId="480" builtinId="9" hidden="1"/>
    <cellStyle name="Gevolgde hyperlink" xfId="1297" builtinId="9" hidden="1"/>
    <cellStyle name="Gevolgde hyperlink" xfId="655" builtinId="9" hidden="1"/>
    <cellStyle name="Gevolgde hyperlink" xfId="787" builtinId="9" hidden="1"/>
    <cellStyle name="Gevolgde hyperlink" xfId="494" builtinId="9" hidden="1"/>
    <cellStyle name="Gevolgde hyperlink" xfId="1613" builtinId="9" hidden="1"/>
    <cellStyle name="Gevolgde hyperlink" xfId="436" builtinId="9" hidden="1"/>
    <cellStyle name="Gevolgde hyperlink" xfId="1677" builtinId="9" hidden="1"/>
    <cellStyle name="Gevolgde hyperlink" xfId="623" builtinId="9" hidden="1"/>
    <cellStyle name="Gevolgde hyperlink" xfId="723" builtinId="9" hidden="1"/>
    <cellStyle name="Gevolgde hyperlink" xfId="591" builtinId="9" hidden="1"/>
    <cellStyle name="Gevolgde hyperlink" xfId="1425" builtinId="9" hidden="1"/>
    <cellStyle name="Gevolgde hyperlink" xfId="464" builtinId="9" hidden="1"/>
    <cellStyle name="Gevolgde hyperlink" xfId="1393" builtinId="9" hidden="1"/>
    <cellStyle name="Gevolgde hyperlink" xfId="1203" builtinId="9" hidden="1"/>
    <cellStyle name="Gevolgde hyperlink" xfId="1433" builtinId="9" hidden="1"/>
    <cellStyle name="Gevolgde hyperlink" xfId="1689" builtinId="9" hidden="1"/>
    <cellStyle name="Gevolgde hyperlink" xfId="376" builtinId="9" hidden="1"/>
    <cellStyle name="Gevolgde hyperlink" xfId="1321" builtinId="9" hidden="1"/>
    <cellStyle name="Gevolgde hyperlink" xfId="567" builtinId="9" hidden="1"/>
    <cellStyle name="Gevolgde hyperlink" xfId="843" builtinId="9" hidden="1"/>
    <cellStyle name="Gevolgde hyperlink" xfId="981" builtinId="9" hidden="1"/>
    <cellStyle name="Gevolgde hyperlink" xfId="428" builtinId="9" hidden="1"/>
    <cellStyle name="Gevolgde hyperlink" xfId="1459" builtinId="9" hidden="1"/>
    <cellStyle name="Gevolgde hyperlink" xfId="6" builtinId="9" hidden="1"/>
    <cellStyle name="Gevolgde hyperlink" xfId="140" builtinId="9" hidden="1"/>
    <cellStyle name="Gevolgde hyperlink" xfId="1505" builtinId="9" hidden="1"/>
    <cellStyle name="Gevolgde hyperlink" xfId="390" builtinId="9" hidden="1"/>
    <cellStyle name="Gevolgde hyperlink" xfId="705" builtinId="9" hidden="1"/>
    <cellStyle name="Gevolgde hyperlink" xfId="1575" builtinId="9" hidden="1"/>
    <cellStyle name="Gevolgde hyperlink" xfId="1687" builtinId="9" hidden="1"/>
    <cellStyle name="Gevolgde hyperlink" xfId="166" builtinId="9" hidden="1"/>
    <cellStyle name="Gevolgde hyperlink" xfId="573" builtinId="9" hidden="1"/>
    <cellStyle name="Gevolgde hyperlink" xfId="709" builtinId="9" hidden="1"/>
    <cellStyle name="Gevolgde hyperlink" xfId="1477" builtinId="9" hidden="1"/>
    <cellStyle name="Gevolgde hyperlink" xfId="1179" builtinId="9" hidden="1"/>
    <cellStyle name="Gevolgde hyperlink" xfId="675" builtinId="9" hidden="1"/>
    <cellStyle name="Gevolgde hyperlink" xfId="1379" builtinId="9" hidden="1"/>
    <cellStyle name="Gevolgde hyperlink" xfId="1341" builtinId="9" hidden="1"/>
    <cellStyle name="Gevolgde hyperlink" xfId="735" builtinId="9" hidden="1"/>
    <cellStyle name="Gevolgde hyperlink" xfId="1183" builtinId="9" hidden="1"/>
    <cellStyle name="Gevolgde hyperlink" xfId="1571" builtinId="9" hidden="1"/>
    <cellStyle name="Gevolgde hyperlink" xfId="260" builtinId="9" hidden="1"/>
    <cellStyle name="Gevolgde hyperlink" xfId="448" builtinId="9" hidden="1"/>
    <cellStyle name="Gevolgde hyperlink" xfId="1515" builtinId="9" hidden="1"/>
    <cellStyle name="Gevolgde hyperlink" xfId="320" builtinId="9" hidden="1"/>
    <cellStyle name="Gevolgde hyperlink" xfId="727" builtinId="9" hidden="1"/>
    <cellStyle name="Gevolgde hyperlink" xfId="987" builtinId="9" hidden="1"/>
    <cellStyle name="Gevolgde hyperlink" xfId="16" builtinId="9" hidden="1"/>
    <cellStyle name="Gevolgde hyperlink" xfId="539" builtinId="9" hidden="1"/>
    <cellStyle name="Gevolgde hyperlink" xfId="88" builtinId="9" hidden="1"/>
    <cellStyle name="Gevolgde hyperlink" xfId="565" builtinId="9" hidden="1"/>
    <cellStyle name="Gevolgde hyperlink" xfId="1673" builtinId="9" hidden="1"/>
    <cellStyle name="Gevolgde hyperlink" xfId="919" builtinId="9" hidden="1"/>
    <cellStyle name="Gevolgde hyperlink" xfId="490" builtinId="9" hidden="1"/>
    <cellStyle name="Gevolgde hyperlink" xfId="1323" builtinId="9" hidden="1"/>
    <cellStyle name="Gevolgde hyperlink" xfId="1397" builtinId="9" hidden="1"/>
    <cellStyle name="Gevolgde hyperlink" xfId="214" builtinId="9" hidden="1"/>
    <cellStyle name="Gevolgde hyperlink" xfId="344" builtinId="9" hidden="1"/>
    <cellStyle name="Gevolgde hyperlink" xfId="905" builtinId="9" hidden="1"/>
    <cellStyle name="Gevolgde hyperlink" xfId="505" builtinId="9" hidden="1"/>
    <cellStyle name="Gevolgde hyperlink" xfId="1337" builtinId="9" hidden="1"/>
    <cellStyle name="Goed" xfId="1713" builtinId="26"/>
    <cellStyle name="Hyperlink" xfId="441" builtinId="8" hidden="1"/>
    <cellStyle name="Hyperlink" xfId="401" builtinId="8" hidden="1"/>
    <cellStyle name="Hyperlink" xfId="359" builtinId="8" hidden="1"/>
    <cellStyle name="Hyperlink" xfId="273" builtinId="8" hidden="1"/>
    <cellStyle name="Hyperlink" xfId="748" builtinId="8" hidden="1"/>
    <cellStyle name="Hyperlink" xfId="812" builtinId="8" hidden="1"/>
    <cellStyle name="Hyperlink" xfId="1124" builtinId="8" hidden="1"/>
    <cellStyle name="Hyperlink" xfId="293" builtinId="8" hidden="1"/>
    <cellStyle name="Hyperlink" xfId="443" builtinId="8" hidden="1"/>
    <cellStyle name="Hyperlink" xfId="776" builtinId="8" hidden="1"/>
    <cellStyle name="Hyperlink" xfId="758" builtinId="8" hidden="1"/>
    <cellStyle name="Hyperlink" xfId="646" builtinId="8" hidden="1"/>
    <cellStyle name="Hyperlink" xfId="279" builtinId="8" hidden="1"/>
    <cellStyle name="Hyperlink" xfId="1550" builtinId="8" hidden="1"/>
    <cellStyle name="Hyperlink" xfId="1586" builtinId="8" hidden="1"/>
    <cellStyle name="Hyperlink" xfId="143" builtinId="8" hidden="1"/>
    <cellStyle name="Hyperlink" xfId="121" builtinId="8" hidden="1"/>
    <cellStyle name="Hyperlink" xfId="363" builtinId="8" hidden="1"/>
    <cellStyle name="Hyperlink" xfId="1382" builtinId="8" hidden="1"/>
    <cellStyle name="Hyperlink" xfId="892" builtinId="8" hidden="1"/>
    <cellStyle name="Hyperlink" xfId="393" builtinId="8" hidden="1"/>
    <cellStyle name="Hyperlink" xfId="772" builtinId="8" hidden="1"/>
    <cellStyle name="Hyperlink" xfId="1526" builtinId="8" hidden="1"/>
    <cellStyle name="Hyperlink" xfId="1448" builtinId="8" hidden="1"/>
    <cellStyle name="Hyperlink" xfId="1470" builtinId="8" hidden="1"/>
    <cellStyle name="Hyperlink" xfId="1446" builtinId="8" hidden="1"/>
    <cellStyle name="Hyperlink" xfId="1558" builtinId="8" hidden="1"/>
    <cellStyle name="Hyperlink" xfId="1380" builtinId="8" hidden="1"/>
    <cellStyle name="Hyperlink" xfId="1476" builtinId="8" hidden="1"/>
    <cellStyle name="Hyperlink" xfId="1706" builtinId="8" hidden="1"/>
    <cellStyle name="Hyperlink" xfId="1658" builtinId="8" hidden="1"/>
    <cellStyle name="Hyperlink" xfId="325" builtinId="8" hidden="1"/>
    <cellStyle name="Hyperlink" xfId="1284" builtinId="8" hidden="1"/>
    <cellStyle name="Hyperlink" xfId="554" builtinId="8" hidden="1"/>
    <cellStyle name="Hyperlink" xfId="530" builtinId="8" hidden="1"/>
    <cellStyle name="Hyperlink" xfId="526" builtinId="8" hidden="1"/>
    <cellStyle name="Hyperlink" xfId="447" builtinId="8" hidden="1"/>
    <cellStyle name="Hyperlink" xfId="1600" builtinId="8" hidden="1"/>
    <cellStyle name="Hyperlink" xfId="604" builtinId="8" hidden="1"/>
    <cellStyle name="Hyperlink" xfId="1642" builtinId="8" hidden="1"/>
    <cellStyle name="Hyperlink" xfId="1676" builtinId="8" hidden="1"/>
    <cellStyle name="Hyperlink" xfId="1596" builtinId="8" hidden="1"/>
    <cellStyle name="Hyperlink" xfId="1490" builtinId="8" hidden="1"/>
    <cellStyle name="Hyperlink" xfId="1544" builtinId="8" hidden="1"/>
    <cellStyle name="Hyperlink" xfId="1574" builtinId="8" hidden="1"/>
    <cellStyle name="Hyperlink" xfId="1434" builtinId="8" hidden="1"/>
    <cellStyle name="Hyperlink" xfId="1394" builtinId="8" hidden="1"/>
    <cellStyle name="Hyperlink" xfId="1494" builtinId="8" hidden="1"/>
    <cellStyle name="Hyperlink" xfId="495" builtinId="8" hidden="1"/>
    <cellStyle name="Hyperlink" xfId="351" builtinId="8" hidden="1"/>
    <cellStyle name="Hyperlink" xfId="283" builtinId="8" hidden="1"/>
    <cellStyle name="Hyperlink" xfId="231" builtinId="8" hidden="1"/>
    <cellStyle name="Hyperlink" xfId="566" builtinId="8" hidden="1"/>
    <cellStyle name="Hyperlink" xfId="1120" builtinId="8" hidden="1"/>
    <cellStyle name="Hyperlink" xfId="728" builtinId="8" hidden="1"/>
    <cellStyle name="Hyperlink" xfId="1532" builtinId="8" hidden="1"/>
    <cellStyle name="Hyperlink" xfId="544" builtinId="8" hidden="1"/>
    <cellStyle name="Hyperlink" xfId="1330" builtinId="8" hidden="1"/>
    <cellStyle name="Hyperlink" xfId="1256" builtinId="8" hidden="1"/>
    <cellStyle name="Hyperlink" xfId="1226" builtinId="8" hidden="1"/>
    <cellStyle name="Hyperlink" xfId="1104" builtinId="8" hidden="1"/>
    <cellStyle name="Hyperlink" xfId="1054" builtinId="8" hidden="1"/>
    <cellStyle name="Hyperlink" xfId="1032" builtinId="8" hidden="1"/>
    <cellStyle name="Hyperlink" xfId="1400" builtinId="8" hidden="1"/>
    <cellStyle name="Hyperlink" xfId="1486" builtinId="8" hidden="1"/>
    <cellStyle name="Hyperlink" xfId="1620" builtinId="8" hidden="1"/>
    <cellStyle name="Hyperlink" xfId="820" builtinId="8" hidden="1"/>
    <cellStyle name="Hyperlink" xfId="335" builtinId="8" hidden="1"/>
    <cellStyle name="Hyperlink" xfId="481" builtinId="8" hidden="1"/>
    <cellStyle name="Hyperlink" xfId="698" builtinId="8" hidden="1"/>
    <cellStyle name="Hyperlink" xfId="648" builtinId="8" hidden="1"/>
    <cellStyle name="Hyperlink" xfId="618" builtinId="8" hidden="1"/>
    <cellStyle name="Hyperlink" xfId="271" builtinId="8" hidden="1"/>
    <cellStyle name="Hyperlink" xfId="141" builtinId="8" hidden="1"/>
    <cellStyle name="Hyperlink" xfId="1150" builtinId="8" hidden="1"/>
    <cellStyle name="Hyperlink" xfId="129" builtinId="8" hidden="1"/>
    <cellStyle name="Hyperlink" xfId="483" builtinId="8" hidden="1"/>
    <cellStyle name="Hyperlink" xfId="223" builtinId="8" hidden="1"/>
    <cellStyle name="Hyperlink" xfId="17" builtinId="8" hidden="1"/>
    <cellStyle name="Hyperlink" xfId="35" builtinId="8" hidden="1"/>
    <cellStyle name="Hyperlink" xfId="107" builtinId="8" hidden="1"/>
    <cellStyle name="Hyperlink" xfId="958" builtinId="8" hidden="1"/>
    <cellStyle name="Hyperlink" xfId="1318" builtinId="8" hidden="1"/>
    <cellStyle name="Hyperlink" xfId="451" builtinId="8" hidden="1"/>
    <cellStyle name="Hyperlink" xfId="307" builtinId="8" hidden="1"/>
    <cellStyle name="Hyperlink" xfId="225" builtinId="8" hidden="1"/>
    <cellStyle name="Hyperlink" xfId="203" builtinId="8" hidden="1"/>
    <cellStyle name="Hyperlink" xfId="237" builtinId="8" hidden="1"/>
    <cellStyle name="Hyperlink" xfId="586" builtinId="8" hidden="1"/>
    <cellStyle name="Hyperlink" xfId="99" builtinId="8" hidden="1"/>
    <cellStyle name="Hyperlink" xfId="27" builtinId="8" hidden="1"/>
    <cellStyle name="Hyperlink" xfId="177" builtinId="8" hidden="1"/>
    <cellStyle name="Hyperlink" xfId="131" builtinId="8" hidden="1"/>
    <cellStyle name="Hyperlink" xfId="63" builtinId="8" hidden="1"/>
    <cellStyle name="Hyperlink" xfId="15" builtinId="8" hidden="1"/>
    <cellStyle name="Hyperlink" xfId="546" builtinId="8" hidden="1"/>
    <cellStyle name="Hyperlink" xfId="1266" builtinId="8" hidden="1"/>
    <cellStyle name="Hyperlink" xfId="808" builtinId="8" hidden="1"/>
    <cellStyle name="Hyperlink" xfId="596" builtinId="8" hidden="1"/>
    <cellStyle name="Hyperlink" xfId="1002" builtinId="8" hidden="1"/>
    <cellStyle name="Hyperlink" xfId="1128" builtinId="8" hidden="1"/>
    <cellStyle name="Hyperlink" xfId="1298" builtinId="8" hidden="1"/>
    <cellStyle name="Hyperlink" xfId="1218" builtinId="8" hidden="1"/>
    <cellStyle name="Hyperlink" xfId="1276" builtinId="8" hidden="1"/>
    <cellStyle name="Hyperlink" xfId="506" builtinId="8" hidden="1"/>
    <cellStyle name="Hyperlink" xfId="1594" builtinId="8" hidden="1"/>
    <cellStyle name="Hyperlink" xfId="1356" builtinId="8" hidden="1"/>
    <cellStyle name="Hyperlink" xfId="1702" builtinId="8" hidden="1"/>
    <cellStyle name="Hyperlink" xfId="562" builtinId="8" hidden="1"/>
    <cellStyle name="Hyperlink" xfId="277" builtinId="8" hidden="1"/>
    <cellStyle name="Hyperlink" xfId="423" builtinId="8" hidden="1"/>
    <cellStyle name="Hyperlink" xfId="1534" builtinId="8" hidden="1"/>
    <cellStyle name="Hyperlink" xfId="1418" builtinId="8" hidden="1"/>
    <cellStyle name="Hyperlink" xfId="1650" builtinId="8" hidden="1"/>
    <cellStyle name="Hyperlink" xfId="1166" builtinId="8" hidden="1"/>
    <cellStyle name="Hyperlink" xfId="65" builtinId="8" hidden="1"/>
    <cellStyle name="Hyperlink" xfId="1316" builtinId="8" hidden="1"/>
    <cellStyle name="Hyperlink" xfId="658" builtinId="8" hidden="1"/>
    <cellStyle name="Hyperlink" xfId="1052" builtinId="8" hidden="1"/>
    <cellStyle name="Hyperlink" xfId="668" builtinId="8" hidden="1"/>
    <cellStyle name="Hyperlink" xfId="487" builtinId="8" hidden="1"/>
    <cellStyle name="Hyperlink" xfId="680" builtinId="8" hidden="1"/>
    <cellStyle name="Hyperlink" xfId="600" builtinId="8" hidden="1"/>
    <cellStyle name="Hyperlink" xfId="846" builtinId="8" hidden="1"/>
    <cellStyle name="Hyperlink" xfId="672" builtinId="8" hidden="1"/>
    <cellStyle name="Hyperlink" xfId="1358" builtinId="8" hidden="1"/>
    <cellStyle name="Hyperlink" xfId="872" builtinId="8" hidden="1"/>
    <cellStyle name="Hyperlink" xfId="1352" builtinId="8" hidden="1"/>
    <cellStyle name="Hyperlink" xfId="654" builtinId="8" hidden="1"/>
    <cellStyle name="Hyperlink" xfId="261" builtinId="8" hidden="1"/>
    <cellStyle name="Hyperlink" xfId="429" builtinId="8" hidden="1"/>
    <cellStyle name="Hyperlink" xfId="303" builtinId="8" hidden="1"/>
    <cellStyle name="Hyperlink" xfId="259" builtinId="8" hidden="1"/>
    <cellStyle name="Hyperlink" xfId="147" builtinId="8" hidden="1"/>
    <cellStyle name="Hyperlink" xfId="1106" builtinId="8" hidden="1"/>
    <cellStyle name="Hyperlink" xfId="534" builtinId="8" hidden="1"/>
    <cellStyle name="Hyperlink" xfId="682" builtinId="8" hidden="1"/>
    <cellStyle name="Hyperlink" xfId="1080" builtinId="8" hidden="1"/>
    <cellStyle name="Hyperlink" xfId="580" builtinId="8" hidden="1"/>
    <cellStyle name="Hyperlink" xfId="227" builtinId="8" hidden="1"/>
    <cellStyle name="Hyperlink" xfId="87" builtinId="8" hidden="1"/>
    <cellStyle name="Hyperlink" xfId="75" builtinId="8" hidden="1"/>
    <cellStyle name="Hyperlink" xfId="1294" builtinId="8" hidden="1"/>
    <cellStyle name="Hyperlink" xfId="1142" builtinId="8" hidden="1"/>
    <cellStyle name="Hyperlink" xfId="1698" builtinId="8" hidden="1"/>
    <cellStyle name="Hyperlink" xfId="373" builtinId="8" hidden="1"/>
    <cellStyle name="Hyperlink" xfId="1260" builtinId="8" hidden="1"/>
    <cellStyle name="Hyperlink" xfId="992" builtinId="8" hidden="1"/>
    <cellStyle name="Hyperlink" xfId="592" builtinId="8" hidden="1"/>
    <cellStyle name="Hyperlink" xfId="1184" builtinId="8" hidden="1"/>
    <cellStyle name="Hyperlink" xfId="1708" builtinId="8" hidden="1"/>
    <cellStyle name="Hyperlink" xfId="1514" builtinId="8" hidden="1"/>
    <cellStyle name="Hyperlink" xfId="1584" builtinId="8" hidden="1"/>
    <cellStyle name="Hyperlink" xfId="209" builtinId="8" hidden="1"/>
    <cellStyle name="Hyperlink" xfId="1240" builtinId="8" hidden="1"/>
    <cellStyle name="Hyperlink" xfId="491" builtinId="8" hidden="1"/>
    <cellStyle name="Hyperlink" xfId="1456" builtinId="8" hidden="1"/>
    <cellStyle name="Hyperlink" xfId="644" builtinId="8" hidden="1"/>
    <cellStyle name="Hyperlink" xfId="245" builtinId="8" hidden="1"/>
    <cellStyle name="Hyperlink" xfId="475" builtinId="8" hidden="1"/>
    <cellStyle name="Hyperlink" xfId="910" builtinId="8" hidden="1"/>
    <cellStyle name="Hyperlink" xfId="1176" builtinId="8" hidden="1"/>
    <cellStyle name="Hyperlink" xfId="594" builtinId="8" hidden="1"/>
    <cellStyle name="Hyperlink" xfId="844" builtinId="8" hidden="1"/>
    <cellStyle name="Hyperlink" xfId="998" builtinId="8" hidden="1"/>
    <cellStyle name="Hyperlink" xfId="377" builtinId="8" hidden="1"/>
    <cellStyle name="Hyperlink" xfId="1344" builtinId="8" hidden="1"/>
    <cellStyle name="Hyperlink" xfId="153" builtinId="8" hidden="1"/>
    <cellStyle name="Hyperlink" xfId="988" builtinId="8" hidden="1"/>
    <cellStyle name="Hyperlink" xfId="1250" builtinId="8" hidden="1"/>
    <cellStyle name="Hyperlink" xfId="1496" builtinId="8" hidden="1"/>
    <cellStyle name="Hyperlink" xfId="1462" builtinId="8" hidden="1"/>
    <cellStyle name="Hyperlink" xfId="1552" builtinId="8" hidden="1"/>
    <cellStyle name="Hyperlink" xfId="1466" builtinId="8" hidden="1"/>
    <cellStyle name="Hyperlink" xfId="760" builtinId="8" hidden="1"/>
    <cellStyle name="Hyperlink" xfId="1084" builtinId="8" hidden="1"/>
    <cellStyle name="Hyperlink" xfId="489" builtinId="8" hidden="1"/>
    <cellStyle name="Hyperlink" xfId="1074" builtinId="8" hidden="1"/>
    <cellStyle name="Hyperlink" xfId="946" builtinId="8" hidden="1"/>
    <cellStyle name="Hyperlink" xfId="1524" builtinId="8" hidden="1"/>
    <cellStyle name="Hyperlink" xfId="79" builtinId="8" hidden="1"/>
    <cellStyle name="Hyperlink" xfId="1096" builtinId="8" hidden="1"/>
    <cellStyle name="Hyperlink" xfId="1516" builtinId="8" hidden="1"/>
    <cellStyle name="Hyperlink" xfId="742" builtinId="8" hidden="1"/>
    <cellStyle name="Hyperlink" xfId="990" builtinId="8" hidden="1"/>
    <cellStyle name="Hyperlink" xfId="263" builtinId="8" hidden="1"/>
    <cellStyle name="Hyperlink" xfId="145" builtinId="8" hidden="1"/>
    <cellStyle name="Hyperlink" xfId="201" builtinId="8" hidden="1"/>
    <cellStyle name="Hyperlink" xfId="355" builtinId="8" hidden="1"/>
    <cellStyle name="Hyperlink" xfId="1024" builtinId="8" hidden="1"/>
    <cellStyle name="Hyperlink" xfId="339" builtinId="8" hidden="1"/>
    <cellStyle name="Hyperlink" xfId="858" builtinId="8" hidden="1"/>
    <cellStyle name="Hyperlink" xfId="916" builtinId="8" hidden="1"/>
    <cellStyle name="Hyperlink" xfId="1118" builtinId="8" hidden="1"/>
    <cellStyle name="Hyperlink" xfId="437" builtinId="8" hidden="1"/>
    <cellStyle name="Hyperlink" xfId="930" builtinId="8" hidden="1"/>
    <cellStyle name="Hyperlink" xfId="1376" builtinId="8" hidden="1"/>
    <cellStyle name="Hyperlink" xfId="754" builtinId="8" hidden="1"/>
    <cellStyle name="Hyperlink" xfId="1026" builtinId="8" hidden="1"/>
    <cellStyle name="Hyperlink" xfId="890" builtinId="8" hidden="1"/>
    <cellStyle name="Hyperlink" xfId="802" builtinId="8" hidden="1"/>
    <cellStyle name="Hyperlink" xfId="670" builtinId="8" hidden="1"/>
    <cellStyle name="Hyperlink" xfId="493" builtinId="8" hidden="1"/>
    <cellStyle name="Hyperlink" xfId="405" builtinId="8" hidden="1"/>
    <cellStyle name="Hyperlink" xfId="956" builtinId="8" hidden="1"/>
    <cellStyle name="Hyperlink" xfId="1252" builtinId="8" hidden="1"/>
    <cellStyle name="Hyperlink" xfId="253" builtinId="8" hidden="1"/>
    <cellStyle name="Hyperlink" xfId="1468" builtinId="8" hidden="1"/>
    <cellStyle name="Hyperlink" xfId="1180" builtinId="8" hidden="1"/>
    <cellStyle name="Hyperlink" xfId="1198" builtinId="8" hidden="1"/>
    <cellStyle name="Hyperlink" xfId="37" builtinId="8" hidden="1"/>
    <cellStyle name="Hyperlink" xfId="205" builtinId="8" hidden="1"/>
    <cellStyle name="Hyperlink" xfId="578" builtinId="8" hidden="1"/>
    <cellStyle name="Hyperlink" xfId="117" builtinId="8" hidden="1"/>
    <cellStyle name="Hyperlink" xfId="1528" builtinId="8" hidden="1"/>
    <cellStyle name="Hyperlink" xfId="1312" builtinId="8" hidden="1"/>
    <cellStyle name="Hyperlink" xfId="1016" builtinId="8" hidden="1"/>
    <cellStyle name="Hyperlink" xfId="1442" builtinId="8" hidden="1"/>
    <cellStyle name="Hyperlink" xfId="762" builtinId="8" hidden="1"/>
    <cellStyle name="Hyperlink" xfId="1592" builtinId="8" hidden="1"/>
    <cellStyle name="Hyperlink" xfId="433" builtinId="8" hidden="1"/>
    <cellStyle name="Hyperlink" xfId="1696" builtinId="8" hidden="1"/>
    <cellStyle name="Hyperlink" xfId="1520" builtinId="8" hidden="1"/>
    <cellStyle name="Hyperlink" xfId="1670" builtinId="8" hidden="1"/>
    <cellStyle name="Hyperlink" xfId="1028" builtinId="8" hidden="1"/>
    <cellStyle name="Hyperlink" xfId="542" builtinId="8" hidden="1"/>
    <cellStyle name="Hyperlink" xfId="1630" builtinId="8" hidden="1"/>
    <cellStyle name="Hyperlink" xfId="1636" builtinId="8" hidden="1"/>
    <cellStyle name="Hyperlink" xfId="1388" builtinId="8" hidden="1"/>
    <cellStyle name="Hyperlink" xfId="550" builtinId="8" hidden="1"/>
    <cellStyle name="Hyperlink" xfId="21" builtinId="8" hidden="1"/>
    <cellStyle name="Hyperlink" xfId="882" builtinId="8" hidden="1"/>
    <cellStyle name="Hyperlink" xfId="1076" builtinId="8" hidden="1"/>
    <cellStyle name="Hyperlink" xfId="1570" builtinId="8" hidden="1"/>
    <cellStyle name="Hyperlink" xfId="1274" builtinId="8" hidden="1"/>
    <cellStyle name="Hyperlink" xfId="1152" builtinId="8" hidden="1"/>
    <cellStyle name="Hyperlink" xfId="13" builtinId="8" hidden="1"/>
    <cellStyle name="Hyperlink" xfId="159" builtinId="8" hidden="1"/>
    <cellStyle name="Hyperlink" xfId="149" builtinId="8" hidden="1"/>
    <cellStyle name="Hyperlink" xfId="241" builtinId="8" hidden="1"/>
    <cellStyle name="Hyperlink" xfId="1634" builtinId="8" hidden="1"/>
    <cellStyle name="Hyperlink" xfId="309" builtinId="8" hidden="1"/>
    <cellStyle name="Hyperlink" xfId="215" builtinId="8" hidden="1"/>
    <cellStyle name="Hyperlink" xfId="91" builtinId="8" hidden="1"/>
    <cellStyle name="Hyperlink" xfId="1308" builtinId="8" hidden="1"/>
    <cellStyle name="Hyperlink" xfId="1244" builtinId="8" hidden="1"/>
    <cellStyle name="Hyperlink" xfId="1004" builtinId="8" hidden="1"/>
    <cellStyle name="Hyperlink" xfId="924" builtinId="8" hidden="1"/>
    <cellStyle name="Hyperlink" xfId="716" builtinId="8" hidden="1"/>
    <cellStyle name="Hyperlink" xfId="305" builtinId="8" hidden="1"/>
    <cellStyle name="Hyperlink" xfId="329" builtinId="8" hidden="1"/>
    <cellStyle name="Hyperlink" xfId="347" builtinId="8" hidden="1"/>
    <cellStyle name="Hyperlink" xfId="431" builtinId="8" hidden="1"/>
    <cellStyle name="Hyperlink" xfId="457" builtinId="8" hidden="1"/>
    <cellStyle name="Hyperlink" xfId="498" builtinId="8" hidden="1"/>
    <cellStyle name="Hyperlink" xfId="249" builtinId="8" hidden="1"/>
    <cellStyle name="Hyperlink" xfId="1082" builtinId="8" hidden="1"/>
    <cellStyle name="Hyperlink" xfId="694" builtinId="8" hidden="1"/>
    <cellStyle name="Hyperlink" xfId="650" builtinId="8" hidden="1"/>
    <cellStyle name="Hyperlink" xfId="616" builtinId="8" hidden="1"/>
    <cellStyle name="Hyperlink" xfId="642" builtinId="8" hidden="1"/>
    <cellStyle name="Hyperlink" xfId="784" builtinId="8" hidden="1"/>
    <cellStyle name="Hyperlink" xfId="1304" builtinId="8" hidden="1"/>
    <cellStyle name="Hyperlink" xfId="1338" builtinId="8" hidden="1"/>
    <cellStyle name="Hyperlink" xfId="810" builtinId="8" hidden="1"/>
    <cellStyle name="Hyperlink" xfId="894" builtinId="8" hidden="1"/>
    <cellStyle name="Hyperlink" xfId="918" builtinId="8" hidden="1"/>
    <cellStyle name="Hyperlink" xfId="1006" builtinId="8" hidden="1"/>
    <cellStyle name="Hyperlink" xfId="766" builtinId="8" hidden="1"/>
    <cellStyle name="Hyperlink" xfId="1346" builtinId="8" hidden="1"/>
    <cellStyle name="Hyperlink" xfId="1384" builtinId="8" hidden="1"/>
    <cellStyle name="Hyperlink" xfId="1282" builtinId="8" hidden="1"/>
    <cellStyle name="Hyperlink" xfId="768" builtinId="8" hidden="1"/>
    <cellStyle name="Hyperlink" xfId="856" builtinId="8" hidden="1"/>
    <cellStyle name="Hyperlink" xfId="922" builtinId="8" hidden="1"/>
    <cellStyle name="Hyperlink" xfId="904" builtinId="8" hidden="1"/>
    <cellStyle name="Hyperlink" xfId="710" builtinId="8" hidden="1"/>
    <cellStyle name="Hyperlink" xfId="1328" builtinId="8" hidden="1"/>
    <cellStyle name="Hyperlink" xfId="1386" builtinId="8" hidden="1"/>
    <cellStyle name="Hyperlink" xfId="678" builtinId="8" hidden="1"/>
    <cellStyle name="Hyperlink" xfId="744" builtinId="8" hidden="1"/>
    <cellStyle name="Hyperlink" xfId="624" builtinId="8" hidden="1"/>
    <cellStyle name="Hyperlink" xfId="738" builtinId="8" hidden="1"/>
    <cellStyle name="Hyperlink" xfId="696" builtinId="8" hidden="1"/>
    <cellStyle name="Hyperlink" xfId="1206" builtinId="8" hidden="1"/>
    <cellStyle name="Hyperlink" xfId="828" builtinId="8" hidden="1"/>
    <cellStyle name="Hyperlink" xfId="504" builtinId="8" hidden="1"/>
    <cellStyle name="Hyperlink" xfId="459" builtinId="8" hidden="1"/>
    <cellStyle name="Hyperlink" xfId="415" builtinId="8" hidden="1"/>
    <cellStyle name="Hyperlink" xfId="357" builtinId="8" hidden="1"/>
    <cellStyle name="Hyperlink" xfId="331" builtinId="8" hidden="1"/>
    <cellStyle name="Hyperlink" xfId="620" builtinId="8" hidden="1"/>
    <cellStyle name="Hyperlink" xfId="676" builtinId="8" hidden="1"/>
    <cellStyle name="Hyperlink" xfId="908" builtinId="8" hidden="1"/>
    <cellStyle name="Hyperlink" xfId="1060" builtinId="8" hidden="1"/>
    <cellStyle name="Hyperlink" xfId="1212" builtinId="8" hidden="1"/>
    <cellStyle name="Hyperlink" xfId="1292" builtinId="8" hidden="1"/>
    <cellStyle name="Hyperlink" xfId="53" builtinId="8" hidden="1"/>
    <cellStyle name="Hyperlink" xfId="77" builtinId="8" hidden="1"/>
    <cellStyle name="Hyperlink" xfId="345" builtinId="8" hidden="1"/>
    <cellStyle name="Hyperlink" xfId="1464" builtinId="8" hidden="1"/>
    <cellStyle name="Hyperlink" xfId="1058" builtinId="8" hidden="1"/>
    <cellStyle name="Hyperlink" xfId="1230" builtinId="8" hidden="1"/>
    <cellStyle name="Hyperlink" xfId="1580" builtinId="8" hidden="1"/>
    <cellStyle name="Hyperlink" xfId="1340" builtinId="8" hidden="1"/>
    <cellStyle name="Hyperlink" xfId="1458" builtinId="8" hidden="1"/>
    <cellStyle name="Hyperlink" xfId="1628" builtinId="8" hidden="1"/>
    <cellStyle name="Hyperlink" xfId="1144" builtinId="8" hidden="1"/>
    <cellStyle name="Hyperlink" xfId="151" builtinId="8" hidden="1"/>
    <cellStyle name="Hyperlink" xfId="485" builtinId="8" hidden="1"/>
    <cellStyle name="Hyperlink" xfId="630" builtinId="8" hidden="1"/>
    <cellStyle name="Hyperlink" xfId="842" builtinId="8" hidden="1"/>
    <cellStyle name="Hyperlink" xfId="834" builtinId="8" hidden="1"/>
    <cellStyle name="Hyperlink" xfId="610" builtinId="8" hidden="1"/>
    <cellStyle name="Hyperlink" xfId="514" builtinId="8" hidden="1"/>
    <cellStyle name="Hyperlink" xfId="161" builtinId="8" hidden="1"/>
    <cellStyle name="Hyperlink" xfId="123" builtinId="8" hidden="1"/>
    <cellStyle name="Hyperlink" xfId="978" builtinId="8" hidden="1"/>
    <cellStyle name="Hyperlink" xfId="1508" builtinId="8" hidden="1"/>
    <cellStyle name="Hyperlink" xfId="1460" builtinId="8" hidden="1"/>
    <cellStyle name="Hyperlink" xfId="193" builtinId="8" hidden="1"/>
    <cellStyle name="Hyperlink" xfId="706" builtinId="8" hidden="1"/>
    <cellStyle name="Hyperlink" xfId="906" builtinId="8" hidden="1"/>
    <cellStyle name="Hyperlink" xfId="399" builtinId="8" hidden="1"/>
    <cellStyle name="Hyperlink" xfId="870" builtinId="8" hidden="1"/>
    <cellStyle name="Hyperlink" xfId="770" builtinId="8" hidden="1"/>
    <cellStyle name="Hyperlink" xfId="896" builtinId="8" hidden="1"/>
    <cellStyle name="Hyperlink" xfId="185" builtinId="8" hidden="1"/>
    <cellStyle name="Hyperlink" xfId="932" builtinId="8" hidden="1"/>
    <cellStyle name="Hyperlink" xfId="700" builtinId="8" hidden="1"/>
    <cellStyle name="Hyperlink" xfId="518" builtinId="8" hidden="1"/>
    <cellStyle name="Hyperlink" xfId="301" builtinId="8" hidden="1"/>
    <cellStyle name="Hyperlink" xfId="1436" builtinId="8" hidden="1"/>
    <cellStyle name="Hyperlink" xfId="1430" builtinId="8" hidden="1"/>
    <cellStyle name="Hyperlink" xfId="1426" builtinId="8" hidden="1"/>
    <cellStyle name="Hyperlink" xfId="1450" builtinId="8" hidden="1"/>
    <cellStyle name="Hyperlink" xfId="1692" builtinId="8" hidden="1"/>
    <cellStyle name="Hyperlink" xfId="1660" builtinId="8" hidden="1"/>
    <cellStyle name="Hyperlink" xfId="1564" builtinId="8" hidden="1"/>
    <cellStyle name="Hyperlink" xfId="1498" builtinId="8" hidden="1"/>
    <cellStyle name="Hyperlink" xfId="1522" builtinId="8" hidden="1"/>
    <cellStyle name="Hyperlink" xfId="1444" builtinId="8" hidden="1"/>
    <cellStyle name="Hyperlink" xfId="1690" builtinId="8" hidden="1"/>
    <cellStyle name="Hyperlink" xfId="1704" builtinId="8" hidden="1"/>
    <cellStyle name="Hyperlink" xfId="1640" builtinId="8" hidden="1"/>
    <cellStyle name="Hyperlink" xfId="1674" builtinId="8" hidden="1"/>
    <cellStyle name="Hyperlink" xfId="1682" builtinId="8" hidden="1"/>
    <cellStyle name="Hyperlink" xfId="1540" builtinId="8" hidden="1"/>
    <cellStyle name="Hyperlink" xfId="1472" builtinId="8" hidden="1"/>
    <cellStyle name="Hyperlink" xfId="1638" builtinId="8" hidden="1"/>
    <cellStyle name="Hyperlink" xfId="1228" builtinId="8" hidden="1"/>
    <cellStyle name="Hyperlink" xfId="1326" builtinId="8" hidden="1"/>
    <cellStyle name="Hyperlink" xfId="628" builtinId="8" hidden="1"/>
    <cellStyle name="Hyperlink" xfId="938" builtinId="8" hidden="1"/>
    <cellStyle name="Hyperlink" xfId="1136" builtinId="8" hidden="1"/>
    <cellStyle name="Hyperlink" xfId="1334" builtinId="8" hidden="1"/>
    <cellStyle name="Hyperlink" xfId="884" builtinId="8" hidden="1"/>
    <cellStyle name="Hyperlink" xfId="538" builtinId="8" hidden="1"/>
    <cellStyle name="Hyperlink" xfId="211" builtinId="8" hidden="1"/>
    <cellStyle name="Hyperlink" xfId="275" builtinId="8" hidden="1"/>
    <cellStyle name="Hyperlink" xfId="83" builtinId="8" hidden="1"/>
    <cellStyle name="Hyperlink" xfId="902" builtinId="8" hidden="1"/>
    <cellStyle name="Hyperlink" xfId="255" builtinId="8" hidden="1"/>
    <cellStyle name="Hyperlink" xfId="1192" builtinId="8" hidden="1"/>
    <cellStyle name="Hyperlink" xfId="1506" builtinId="8" hidden="1"/>
    <cellStyle name="Hyperlink" xfId="291" builtinId="8" hidden="1"/>
    <cellStyle name="Hyperlink" xfId="900" builtinId="8" hidden="1"/>
    <cellStyle name="Hyperlink" xfId="612" builtinId="8" hidden="1"/>
    <cellStyle name="Hyperlink" xfId="425" builtinId="8" hidden="1"/>
    <cellStyle name="Hyperlink" xfId="197" builtinId="8" hidden="1"/>
    <cellStyle name="Hyperlink" xfId="626" builtinId="8" hidden="1"/>
    <cellStyle name="Hyperlink" xfId="1174" builtinId="8" hidden="1"/>
    <cellStyle name="Hyperlink" xfId="1412" builtinId="8" hidden="1"/>
    <cellStyle name="Hyperlink" xfId="1556" builtinId="8" hidden="1"/>
    <cellStyle name="Hyperlink" xfId="467" builtinId="8" hidden="1"/>
    <cellStyle name="Hyperlink" xfId="135" builtinId="8" hidden="1"/>
    <cellStyle name="Hyperlink" xfId="171" builtinId="8" hidden="1"/>
    <cellStyle name="Hyperlink" xfId="247" builtinId="8" hidden="1"/>
    <cellStyle name="Hyperlink" xfId="51" builtinId="8" hidden="1"/>
    <cellStyle name="Hyperlink" xfId="139" builtinId="8" hidden="1"/>
    <cellStyle name="Hyperlink" xfId="207" builtinId="8" hidden="1"/>
    <cellStyle name="Hyperlink" xfId="19" builtinId="8" hidden="1"/>
    <cellStyle name="Hyperlink" xfId="111" builtinId="8" hidden="1"/>
    <cellStyle name="Hyperlink" xfId="95" builtinId="8" hidden="1"/>
    <cellStyle name="Hyperlink" xfId="1088" builtinId="8" hidden="1"/>
    <cellStyle name="Hyperlink" xfId="1286" builtinId="8" hidden="1"/>
    <cellStyle name="Hyperlink" xfId="1280" builtinId="8" hidden="1"/>
    <cellStyle name="Hyperlink" xfId="1208" builtinId="8" hidden="1"/>
    <cellStyle name="Hyperlink" xfId="1162" builtinId="8" hidden="1"/>
    <cellStyle name="Hyperlink" xfId="1110" builtinId="8" hidden="1"/>
    <cellStyle name="Hyperlink" xfId="1014" builtinId="8" hidden="1"/>
    <cellStyle name="Hyperlink" xfId="982" builtinId="8" hidden="1"/>
    <cellStyle name="Hyperlink" xfId="966" builtinId="8" hidden="1"/>
    <cellStyle name="Hyperlink" xfId="1624" builtinId="8" hidden="1"/>
    <cellStyle name="Hyperlink" xfId="1396" builtinId="8" hidden="1"/>
    <cellStyle name="Hyperlink" xfId="852" builtinId="8" hidden="1"/>
    <cellStyle name="Hyperlink" xfId="187" builtinId="8" hidden="1"/>
    <cellStyle name="Hyperlink" xfId="1664" builtinId="8" hidden="1"/>
    <cellStyle name="Hyperlink" xfId="435" builtinId="8" hidden="1"/>
    <cellStyle name="Hyperlink" xfId="686" builtinId="8" hidden="1"/>
    <cellStyle name="Hyperlink" xfId="281" builtinId="8" hidden="1"/>
    <cellStyle name="Hyperlink" xfId="1332" builtinId="8" hidden="1"/>
    <cellStyle name="Hyperlink" xfId="1102" builtinId="8" hidden="1"/>
    <cellStyle name="Hyperlink" xfId="1248" builtinId="8" hidden="1"/>
    <cellStyle name="Hyperlink" xfId="1322" builtinId="8" hidden="1"/>
    <cellStyle name="Hyperlink" xfId="85" builtinId="8" hidden="1"/>
    <cellStyle name="Hyperlink" xfId="419" builtinId="8" hidden="1"/>
    <cellStyle name="Hyperlink" xfId="323" builtinId="8" hidden="1"/>
    <cellStyle name="Hyperlink" xfId="1130" builtinId="8" hidden="1"/>
    <cellStyle name="Hyperlink" xfId="684" builtinId="8" hidden="1"/>
    <cellStyle name="Hyperlink" xfId="1654" builtinId="8" hidden="1"/>
    <cellStyle name="Hyperlink" xfId="1440" builtinId="8" hidden="1"/>
    <cellStyle name="Hyperlink" xfId="1542" builtinId="8" hidden="1"/>
    <cellStyle name="Hyperlink" xfId="49" builtinId="8" hidden="1"/>
    <cellStyle name="Hyperlink" xfId="788" builtinId="8" hidden="1"/>
    <cellStyle name="Hyperlink" xfId="986" builtinId="8" hidden="1"/>
    <cellStyle name="Hyperlink" xfId="127" builtinId="8" hidden="1"/>
    <cellStyle name="Hyperlink" xfId="582" builtinId="8" hidden="1"/>
    <cellStyle name="Hyperlink" xfId="57" builtinId="8" hidden="1"/>
    <cellStyle name="Hyperlink" xfId="455" builtinId="8" hidden="1"/>
    <cellStyle name="Hyperlink" xfId="1404" builtinId="8" hidden="1"/>
    <cellStyle name="Hyperlink" xfId="1046" builtinId="8" hidden="1"/>
    <cellStyle name="Hyperlink" xfId="55" builtinId="8" hidden="1"/>
    <cellStyle name="Hyperlink" xfId="952" builtinId="8" hidden="1"/>
    <cellStyle name="Hyperlink" xfId="974" builtinId="8" hidden="1"/>
    <cellStyle name="Hyperlink" xfId="317" builtinId="8" hidden="1"/>
    <cellStyle name="Hyperlink" xfId="1560" builtinId="8" hidden="1"/>
    <cellStyle name="Hyperlink" xfId="1086" builtinId="8" hidden="1"/>
    <cellStyle name="Hyperlink" xfId="1258" builtinId="8" hidden="1"/>
    <cellStyle name="Hyperlink" xfId="1410" builtinId="8" hidden="1"/>
    <cellStyle name="Hyperlink" xfId="33" builtinId="8" hidden="1"/>
    <cellStyle name="Hyperlink" xfId="167" builtinId="8" hidden="1"/>
    <cellStyle name="Hyperlink" xfId="403" builtinId="8" hidden="1"/>
    <cellStyle name="Hyperlink" xfId="379" builtinId="8" hidden="1"/>
    <cellStyle name="Hyperlink" xfId="508" builtinId="8" hidden="1"/>
    <cellStyle name="Hyperlink" xfId="1188" builtinId="8" hidden="1"/>
    <cellStyle name="Hyperlink" xfId="1402" builtinId="8" hidden="1"/>
    <cellStyle name="Hyperlink" xfId="157" builtinId="8" hidden="1"/>
    <cellStyle name="Hyperlink" xfId="39" builtinId="8" hidden="1"/>
    <cellStyle name="Hyperlink" xfId="1038" builtinId="8" hidden="1"/>
    <cellStyle name="Hyperlink" xfId="634" builtinId="8" hidden="1"/>
    <cellStyle name="Hyperlink" xfId="1536" builtinId="8" hidden="1"/>
    <cellStyle name="Hyperlink" xfId="1648" builtinId="8" hidden="1"/>
    <cellStyle name="Hyperlink" xfId="1604" builtinId="8" hidden="1"/>
    <cellStyle name="Hyperlink" xfId="1372" builtinId="8" hidden="1"/>
    <cellStyle name="Hyperlink" xfId="1590" builtinId="8" hidden="1"/>
    <cellStyle name="Hyperlink" xfId="1510" builtinId="8" hidden="1"/>
    <cellStyle name="Hyperlink" xfId="449" builtinId="8" hidden="1"/>
    <cellStyle name="Hyperlink" xfId="1314" builtinId="8" hidden="1"/>
    <cellStyle name="Hyperlink" xfId="792" builtinId="8" hidden="1"/>
    <cellStyle name="Hyperlink" xfId="524" builtinId="8" hidden="1"/>
    <cellStyle name="Hyperlink" xfId="1408" builtinId="8" hidden="1"/>
    <cellStyle name="Hyperlink" xfId="265" builtinId="8" hidden="1"/>
    <cellStyle name="Hyperlink" xfId="1354" builtinId="8" hidden="1"/>
    <cellStyle name="Hyperlink" xfId="269" builtinId="8" hidden="1"/>
    <cellStyle name="Hyperlink" xfId="1392" builtinId="8" hidden="1"/>
    <cellStyle name="Hyperlink" xfId="1672" builtinId="8" hidden="1"/>
    <cellStyle name="Hyperlink" xfId="1678" builtinId="8" hidden="1"/>
    <cellStyle name="Hyperlink" xfId="81" builtinId="8" hidden="1"/>
    <cellStyle name="Hyperlink" xfId="996" builtinId="8" hidden="1"/>
    <cellStyle name="Hyperlink" xfId="313" builtinId="8" hidden="1"/>
    <cellStyle name="Hyperlink" xfId="439" builtinId="8" hidden="1"/>
    <cellStyle name="Hyperlink" xfId="381" builtinId="8" hidden="1"/>
    <cellStyle name="Hyperlink" xfId="656" builtinId="8" hidden="1"/>
    <cellStyle name="Hyperlink" xfId="962" builtinId="8" hidden="1"/>
    <cellStyle name="Hyperlink" xfId="816" builtinId="8" hidden="1"/>
    <cellStyle name="Hyperlink" xfId="942" builtinId="8" hidden="1"/>
    <cellStyle name="Hyperlink" xfId="1378" builtinId="8" hidden="1"/>
    <cellStyle name="Hyperlink" xfId="898" builtinId="8" hidden="1"/>
    <cellStyle name="Hyperlink" xfId="666" builtinId="8" hidden="1"/>
    <cellStyle name="Hyperlink" xfId="690" builtinId="8" hidden="1"/>
    <cellStyle name="Hyperlink" xfId="736" builtinId="8" hidden="1"/>
    <cellStyle name="Hyperlink" xfId="708" builtinId="8" hidden="1"/>
    <cellStyle name="Hyperlink" xfId="413" builtinId="8" hidden="1"/>
    <cellStyle name="Hyperlink" xfId="636" builtinId="8" hidden="1"/>
    <cellStyle name="Hyperlink" xfId="1068" builtinId="8" hidden="1"/>
    <cellStyle name="Hyperlink" xfId="11" builtinId="8" hidden="1"/>
    <cellStyle name="Hyperlink" xfId="936" builtinId="8" hidden="1"/>
    <cellStyle name="Hyperlink" xfId="165" builtinId="8" hidden="1"/>
    <cellStyle name="Hyperlink" xfId="1178" builtinId="8" hidden="1"/>
    <cellStyle name="Hyperlink" xfId="806" builtinId="8" hidden="1"/>
    <cellStyle name="Hyperlink" xfId="1452" builtinId="8" hidden="1"/>
    <cellStyle name="Hyperlink" xfId="536" builtinId="8" hidden="1"/>
    <cellStyle name="Hyperlink" xfId="1478" builtinId="8" hidden="1"/>
    <cellStyle name="Hyperlink" xfId="606" builtinId="8" hidden="1"/>
    <cellStyle name="Hyperlink" xfId="1214" builtinId="8" hidden="1"/>
    <cellStyle name="Hyperlink" xfId="584" builtinId="8" hidden="1"/>
    <cellStyle name="Hyperlink" xfId="1390" builtinId="8" hidden="1"/>
    <cellStyle name="Hyperlink" xfId="960" builtinId="8" hidden="1"/>
    <cellStyle name="Hyperlink" xfId="319" builtinId="8" hidden="1"/>
    <cellStyle name="Hyperlink" xfId="702" builtinId="8" hidden="1"/>
    <cellStyle name="Hyperlink" xfId="1370" builtinId="8" hidden="1"/>
    <cellStyle name="Hyperlink" xfId="796" builtinId="8" hidden="1"/>
    <cellStyle name="Hyperlink" xfId="638" builtinId="8" hidden="1"/>
    <cellStyle name="Hyperlink" xfId="47" builtinId="8" hidden="1"/>
    <cellStyle name="Hyperlink" xfId="191" builtinId="8" hidden="1"/>
    <cellStyle name="Hyperlink" xfId="1484" builtinId="8" hidden="1"/>
    <cellStyle name="Hyperlink" xfId="1366" builtinId="8" hidden="1"/>
    <cellStyle name="Hyperlink" xfId="1224" builtinId="8" hidden="1"/>
    <cellStyle name="Hyperlink" xfId="1348" builtinId="8" hidden="1"/>
    <cellStyle name="Hyperlink" xfId="1296" builtinId="8" hidden="1"/>
    <cellStyle name="Hyperlink" xfId="1" builtinId="8" hidden="1"/>
    <cellStyle name="Hyperlink" xfId="622" builtinId="8" hidden="1"/>
    <cellStyle name="Hyperlink" xfId="1254" builtinId="8" hidden="1"/>
    <cellStyle name="Hyperlink" xfId="1156" builtinId="8" hidden="1"/>
    <cellStyle name="Hyperlink" xfId="67" builtinId="8" hidden="1"/>
    <cellStyle name="Hyperlink" xfId="59" builtinId="8" hidden="1"/>
    <cellStyle name="Hyperlink" xfId="473" builtinId="8" hidden="1"/>
    <cellStyle name="Hyperlink" xfId="1530" builtinId="8" hidden="1"/>
    <cellStyle name="Hyperlink" xfId="994" builtinId="8" hidden="1"/>
    <cellStyle name="Hyperlink" xfId="9" builtinId="8" hidden="1"/>
    <cellStyle name="Hyperlink" xfId="41" builtinId="8" hidden="1"/>
    <cellStyle name="Hyperlink" xfId="1700" builtinId="8" hidden="1"/>
    <cellStyle name="Hyperlink" xfId="876" builtinId="8" hidden="1"/>
    <cellStyle name="Hyperlink" xfId="730" builtinId="8" hidden="1"/>
    <cellStyle name="Hyperlink" xfId="782" builtinId="8" hidden="1"/>
    <cellStyle name="Hyperlink" xfId="818" builtinId="8" hidden="1"/>
    <cellStyle name="Hyperlink" xfId="383" builtinId="8" hidden="1"/>
    <cellStyle name="Hyperlink" xfId="1290" builtinId="8" hidden="1"/>
    <cellStyle name="Hyperlink" xfId="321" builtinId="8" hidden="1"/>
    <cellStyle name="Hyperlink" xfId="1548" builtinId="8" hidden="1"/>
    <cellStyle name="Hyperlink" xfId="940" builtinId="8" hidden="1"/>
    <cellStyle name="Hyperlink" xfId="1568" builtinId="8" hidden="1"/>
    <cellStyle name="Hyperlink" xfId="1616" builtinId="8" hidden="1"/>
    <cellStyle name="Hyperlink" xfId="1666" builtinId="8" hidden="1"/>
    <cellStyle name="Hyperlink" xfId="1132" builtinId="8" hidden="1"/>
    <cellStyle name="Hyperlink" xfId="590" builtinId="8" hidden="1"/>
    <cellStyle name="Hyperlink" xfId="1646" builtinId="8" hidden="1"/>
    <cellStyle name="Hyperlink" xfId="574" builtinId="8" hidden="1"/>
    <cellStyle name="Hyperlink" xfId="133" builtinId="8" hidden="1"/>
    <cellStyle name="Hyperlink" xfId="1236" builtinId="8" hidden="1"/>
    <cellStyle name="Hyperlink" xfId="69" builtinId="8" hidden="1"/>
    <cellStyle name="Hyperlink" xfId="183" builtinId="8" hidden="1"/>
    <cellStyle name="Hyperlink" xfId="1022" builtinId="8" hidden="1"/>
    <cellStyle name="Hyperlink" xfId="1090" builtinId="8" hidden="1"/>
    <cellStyle name="Hyperlink" xfId="1364" builtinId="8" hidden="1"/>
    <cellStyle name="Hyperlink" xfId="954" builtinId="8" hidden="1"/>
    <cellStyle name="Hyperlink" xfId="1202" builtinId="8" hidden="1"/>
    <cellStyle name="Hyperlink" xfId="1612" builtinId="8" hidden="1"/>
    <cellStyle name="Hyperlink" xfId="814" builtinId="8" hidden="1"/>
    <cellStyle name="Hyperlink" xfId="740" builtinId="8" hidden="1"/>
    <cellStyle name="Hyperlink" xfId="1618" builtinId="8" hidden="1"/>
    <cellStyle name="Hyperlink" xfId="1482" builtinId="8" hidden="1"/>
    <cellStyle name="Hyperlink" xfId="1420" builtinId="8" hidden="1"/>
    <cellStyle name="Hyperlink" xfId="522" builtinId="8" hidden="1"/>
    <cellStyle name="Hyperlink" xfId="552" builtinId="8" hidden="1"/>
    <cellStyle name="Hyperlink" xfId="1608" builtinId="8" hidden="1"/>
    <cellStyle name="Hyperlink" xfId="1686" builtinId="8" hidden="1"/>
    <cellStyle name="Hyperlink" xfId="1502" builtinId="8" hidden="1"/>
    <cellStyle name="Hyperlink" xfId="1406" builtinId="8" hidden="1"/>
    <cellStyle name="Hyperlink" xfId="461" builtinId="8" hidden="1"/>
    <cellStyle name="Hyperlink" xfId="1538" builtinId="8" hidden="1"/>
    <cellStyle name="Hyperlink" xfId="327" builtinId="8" hidden="1"/>
    <cellStyle name="Hyperlink" xfId="512" builtinId="8" hidden="1"/>
    <cellStyle name="Hyperlink" xfId="774" builtinId="8" hidden="1"/>
    <cellStyle name="Hyperlink" xfId="972" builtinId="8" hidden="1"/>
    <cellStyle name="Hyperlink" xfId="315" builtinId="8" hidden="1"/>
    <cellStyle name="Hyperlink" xfId="465" builtinId="8" hidden="1"/>
    <cellStyle name="Hyperlink" xfId="395" builtinId="8" hidden="1"/>
    <cellStyle name="Hyperlink" xfId="479" builtinId="8" hidden="1"/>
    <cellStyle name="Hyperlink" xfId="614" builtinId="8" hidden="1"/>
    <cellStyle name="Hyperlink" xfId="886" builtinId="8" hidden="1"/>
    <cellStyle name="Hyperlink" xfId="880" builtinId="8" hidden="1"/>
    <cellStyle name="Hyperlink" xfId="1112" builtinId="8" hidden="1"/>
    <cellStyle name="Hyperlink" xfId="1154" builtinId="8" hidden="1"/>
    <cellStyle name="Hyperlink" xfId="826" builtinId="8" hidden="1"/>
    <cellStyle name="Hyperlink" xfId="878" builtinId="8" hidden="1"/>
    <cellStyle name="Hyperlink" xfId="608" builtinId="8" hidden="1"/>
    <cellStyle name="Hyperlink" xfId="718" builtinId="8" hidden="1"/>
    <cellStyle name="Hyperlink" xfId="1220" builtinId="8" hidden="1"/>
    <cellStyle name="Hyperlink" xfId="389" builtinId="8" hidden="1"/>
    <cellStyle name="Hyperlink" xfId="285" builtinId="8" hidden="1"/>
    <cellStyle name="Hyperlink" xfId="868" builtinId="8" hidden="1"/>
    <cellStyle name="Hyperlink" xfId="243" builtinId="8" hidden="1"/>
    <cellStyle name="Hyperlink" xfId="1342" builtinId="8" hidden="1"/>
    <cellStyle name="Hyperlink" xfId="89" builtinId="8" hidden="1"/>
    <cellStyle name="Hyperlink" xfId="1078" builtinId="8" hidden="1"/>
    <cellStyle name="Hyperlink" xfId="409" builtinId="8" hidden="1"/>
    <cellStyle name="Hyperlink" xfId="1578" builtinId="8" hidden="1"/>
    <cellStyle name="Hyperlink" xfId="860" builtinId="8" hidden="1"/>
    <cellStyle name="Hyperlink" xfId="375" builtinId="8" hidden="1"/>
    <cellStyle name="Hyperlink" xfId="299" builtinId="8" hidden="1"/>
    <cellStyle name="Hyperlink" xfId="1114" builtinId="8" hidden="1"/>
    <cellStyle name="Hyperlink" xfId="387" builtinId="8" hidden="1"/>
    <cellStyle name="Hyperlink" xfId="1232" builtinId="8" hidden="1"/>
    <cellStyle name="Hyperlink" xfId="1598" builtinId="8" hidden="1"/>
    <cellStyle name="Hyperlink" xfId="652" builtinId="8" hidden="1"/>
    <cellStyle name="Hyperlink" xfId="1092" builtinId="8" hidden="1"/>
    <cellStyle name="Hyperlink" xfId="822" builtinId="8" hidden="1"/>
    <cellStyle name="Hyperlink" xfId="726" builtinId="8" hidden="1"/>
    <cellStyle name="Hyperlink" xfId="341" builtinId="8" hidden="1"/>
    <cellStyle name="Hyperlink" xfId="1644" builtinId="8" hidden="1"/>
    <cellStyle name="Hyperlink" xfId="1582" builtinId="8" hidden="1"/>
    <cellStyle name="Hyperlink" xfId="572" builtinId="8" hidden="1"/>
    <cellStyle name="Hyperlink" xfId="1234" builtinId="8" hidden="1"/>
    <cellStyle name="Hyperlink" xfId="1072" builtinId="8" hidden="1"/>
    <cellStyle name="Hyperlink" xfId="1324" builtinId="8" hidden="1"/>
    <cellStyle name="Hyperlink" xfId="1622" builtinId="8" hidden="1"/>
    <cellStyle name="Hyperlink" xfId="1662" builtinId="8" hidden="1"/>
    <cellStyle name="Hyperlink" xfId="1500" builtinId="8" hidden="1"/>
    <cellStyle name="Hyperlink" xfId="1562" builtinId="8" hidden="1"/>
    <cellStyle name="Hyperlink" xfId="1414" builtinId="8" hidden="1"/>
    <cellStyle name="Hyperlink" xfId="109" builtinId="8" hidden="1"/>
    <cellStyle name="Hyperlink" xfId="602" builtinId="8" hidden="1"/>
    <cellStyle name="Hyperlink" xfId="1140" builtinId="8" hidden="1"/>
    <cellStyle name="Hyperlink" xfId="1474" builtinId="8" hidden="1"/>
    <cellStyle name="Hyperlink" xfId="1062" builtinId="8" hidden="1"/>
    <cellStyle name="Hyperlink" xfId="1310" builtinId="8" hidden="1"/>
    <cellStyle name="Hyperlink" xfId="73" builtinId="8" hidden="1"/>
    <cellStyle name="Hyperlink" xfId="229" builtinId="8" hidden="1"/>
    <cellStyle name="Hyperlink" xfId="564" builtinId="8" hidden="1"/>
    <cellStyle name="Hyperlink" xfId="221" builtinId="8" hidden="1"/>
    <cellStyle name="Hyperlink" xfId="1030" builtinId="8" hidden="1"/>
    <cellStyle name="Hyperlink" xfId="1350" builtinId="8" hidden="1"/>
    <cellStyle name="Hyperlink" xfId="477" builtinId="8" hidden="1"/>
    <cellStyle name="Hyperlink" xfId="540" builtinId="8" hidden="1"/>
    <cellStyle name="Hyperlink" xfId="43" builtinId="8" hidden="1"/>
    <cellStyle name="Hyperlink" xfId="928" builtinId="8" hidden="1"/>
    <cellStyle name="Hyperlink" xfId="854" builtinId="8" hidden="1"/>
    <cellStyle name="Hyperlink" xfId="445" builtinId="8" hidden="1"/>
    <cellStyle name="Hyperlink" xfId="692" builtinId="8" hidden="1"/>
    <cellStyle name="Hyperlink" xfId="980" builtinId="8" hidden="1"/>
    <cellStyle name="Hyperlink" xfId="1204" builtinId="8" hidden="1"/>
    <cellStyle name="Hyperlink" xfId="944" builtinId="8" hidden="1"/>
    <cellStyle name="Hyperlink" xfId="968" builtinId="8" hidden="1"/>
    <cellStyle name="Hyperlink" xfId="1040" builtinId="8" hidden="1"/>
    <cellStyle name="Hyperlink" xfId="1066" builtinId="8" hidden="1"/>
    <cellStyle name="Hyperlink" xfId="1094" builtinId="8" hidden="1"/>
    <cellStyle name="Hyperlink" xfId="1190" builtinId="8" hidden="1"/>
    <cellStyle name="Hyperlink" xfId="1238" builtinId="8" hidden="1"/>
    <cellStyle name="Hyperlink" xfId="1336" builtinId="8" hidden="1"/>
    <cellStyle name="Hyperlink" xfId="1222" builtinId="8" hidden="1"/>
    <cellStyle name="Hyperlink" xfId="1056" builtinId="8" hidden="1"/>
    <cellStyle name="Hyperlink" xfId="97" builtinId="8" hidden="1"/>
    <cellStyle name="Hyperlink" xfId="45" builtinId="8" hidden="1"/>
    <cellStyle name="Hyperlink" xfId="25" builtinId="8" hidden="1"/>
    <cellStyle name="Hyperlink" xfId="195" builtinId="8" hidden="1"/>
    <cellStyle name="Hyperlink" xfId="510" builtinId="8" hidden="1"/>
    <cellStyle name="Hyperlink" xfId="169" builtinId="8" hidden="1"/>
    <cellStyle name="Hyperlink" xfId="213" builtinId="8" hidden="1"/>
    <cellStyle name="Hyperlink" xfId="235" builtinId="8" hidden="1"/>
    <cellStyle name="Hyperlink" xfId="119" builtinId="8" hidden="1"/>
    <cellStyle name="Hyperlink" xfId="532" builtinId="8" hidden="1"/>
    <cellStyle name="Hyperlink" xfId="568" builtinId="8" hidden="1"/>
    <cellStyle name="Hyperlink" xfId="101" builtinId="8" hidden="1"/>
    <cellStyle name="Hyperlink" xfId="155" builtinId="8" hidden="1"/>
    <cellStyle name="Hyperlink" xfId="1122" builtinId="8" hidden="1"/>
    <cellStyle name="Hyperlink" xfId="1306" builtinId="8" hidden="1"/>
    <cellStyle name="Hyperlink" xfId="1160" builtinId="8" hidden="1"/>
    <cellStyle name="Hyperlink" xfId="1008" builtinId="8" hidden="1"/>
    <cellStyle name="Hyperlink" xfId="1656" builtinId="8" hidden="1"/>
    <cellStyle name="Hyperlink" xfId="850" builtinId="8" hidden="1"/>
    <cellStyle name="Hyperlink" xfId="1044" builtinId="8" hidden="1"/>
    <cellStyle name="Hyperlink" xfId="311" builtinId="8" hidden="1"/>
    <cellStyle name="Hyperlink" xfId="1668" builtinId="8" hidden="1"/>
    <cellStyle name="Hyperlink" xfId="1424" builtinId="8" hidden="1"/>
    <cellStyle name="Hyperlink" xfId="1504" builtinId="8" hidden="1"/>
    <cellStyle name="Hyperlink" xfId="1632" builtinId="8" hidden="1"/>
    <cellStyle name="Hyperlink" xfId="1182" builtinId="8" hidden="1"/>
    <cellStyle name="Hyperlink" xfId="1034" builtinId="8" hidden="1"/>
    <cellStyle name="Hyperlink" xfId="1300" builtinId="8" hidden="1"/>
    <cellStyle name="Hyperlink" xfId="660" builtinId="8" hidden="1"/>
    <cellStyle name="Hyperlink" xfId="5" builtinId="8" hidden="1"/>
    <cellStyle name="Hyperlink" xfId="31" builtinId="8" hidden="1"/>
    <cellStyle name="Hyperlink" xfId="175" builtinId="8" hidden="1"/>
    <cellStyle name="Hyperlink" xfId="1100" builtinId="8" hidden="1"/>
    <cellStyle name="Hyperlink" xfId="1020" builtinId="8" hidden="1"/>
    <cellStyle name="Hyperlink" xfId="804" builtinId="8" hidden="1"/>
    <cellStyle name="Hyperlink" xfId="732" builtinId="8" hidden="1"/>
    <cellStyle name="Hyperlink" xfId="257" builtinId="8" hidden="1"/>
    <cellStyle name="Hyperlink" xfId="343" builtinId="8" hidden="1"/>
    <cellStyle name="Hyperlink" xfId="361" builtinId="8" hidden="1"/>
    <cellStyle name="Hyperlink" xfId="453" builtinId="8" hidden="1"/>
    <cellStyle name="Hyperlink" xfId="469" builtinId="8" hidden="1"/>
    <cellStyle name="Hyperlink" xfId="411" builtinId="8" hidden="1"/>
    <cellStyle name="Hyperlink" xfId="103" builtinId="8" hidden="1"/>
    <cellStyle name="Hyperlink" xfId="950" builtinId="8" hidden="1"/>
    <cellStyle name="Hyperlink" xfId="688" builtinId="8" hidden="1"/>
    <cellStyle name="Hyperlink" xfId="750" builtinId="8" hidden="1"/>
    <cellStyle name="Hyperlink" xfId="598" builtinId="8" hidden="1"/>
    <cellStyle name="Hyperlink" xfId="920" builtinId="8" hidden="1"/>
    <cellStyle name="Hyperlink" xfId="864" builtinId="8" hidden="1"/>
    <cellStyle name="Hyperlink" xfId="794" builtinId="8" hidden="1"/>
    <cellStyle name="Hyperlink" xfId="734" builtinId="8" hidden="1"/>
    <cellStyle name="Hyperlink" xfId="832" builtinId="8" hidden="1"/>
    <cellStyle name="Hyperlink" xfId="848" builtinId="8" hidden="1"/>
    <cellStyle name="Hyperlink" xfId="934" builtinId="8" hidden="1"/>
    <cellStyle name="Hyperlink" xfId="674" builtinId="8" hidden="1"/>
    <cellStyle name="Hyperlink" xfId="1368" builtinId="8" hidden="1"/>
    <cellStyle name="Hyperlink" xfId="1374" builtinId="8" hidden="1"/>
    <cellStyle name="Hyperlink" xfId="1360" builtinId="8" hidden="1"/>
    <cellStyle name="Hyperlink" xfId="1262" builtinId="8" hidden="1"/>
    <cellStyle name="Hyperlink" xfId="798" builtinId="8" hidden="1"/>
    <cellStyle name="Hyperlink" xfId="926" builtinId="8" hidden="1"/>
    <cellStyle name="Hyperlink" xfId="888" builtinId="8" hidden="1"/>
    <cellStyle name="Hyperlink" xfId="866" builtinId="8" hidden="1"/>
    <cellStyle name="Hyperlink" xfId="800" builtinId="8" hidden="1"/>
    <cellStyle name="Hyperlink" xfId="1302" builtinId="8" hidden="1"/>
    <cellStyle name="Hyperlink" xfId="1048" builtinId="8" hidden="1"/>
    <cellStyle name="Hyperlink" xfId="874" builtinId="8" hidden="1"/>
    <cellStyle name="Hyperlink" xfId="664" builtinId="8" hidden="1"/>
    <cellStyle name="Hyperlink" xfId="640" builtinId="8" hidden="1"/>
    <cellStyle name="Hyperlink" xfId="746" builtinId="8" hidden="1"/>
    <cellStyle name="Hyperlink" xfId="704" builtinId="8" hidden="1"/>
    <cellStyle name="Hyperlink" xfId="1428" builtinId="8" hidden="1"/>
    <cellStyle name="Hyperlink" xfId="964" builtinId="8" hidden="1"/>
    <cellStyle name="Hyperlink" xfId="297" builtinId="8" hidden="1"/>
    <cellStyle name="Hyperlink" xfId="722" builtinId="8" hidden="1"/>
    <cellStyle name="Hyperlink" xfId="1070" builtinId="8" hidden="1"/>
    <cellStyle name="Hyperlink" xfId="912" builtinId="8" hidden="1"/>
    <cellStyle name="Hyperlink" xfId="632" builtinId="8" hidden="1"/>
    <cellStyle name="Hyperlink" xfId="385" builtinId="8" hidden="1"/>
    <cellStyle name="Hyperlink" xfId="1164" builtinId="8" hidden="1"/>
    <cellStyle name="Hyperlink" xfId="349" builtinId="8" hidden="1"/>
    <cellStyle name="Hyperlink" xfId="1108" builtinId="8" hidden="1"/>
    <cellStyle name="Hyperlink" xfId="61" builtinId="8" hidden="1"/>
    <cellStyle name="Hyperlink" xfId="189" builtinId="8" hidden="1"/>
    <cellStyle name="Hyperlink" xfId="1264" builtinId="8" hidden="1"/>
    <cellStyle name="Hyperlink" xfId="1614" builtinId="8" hidden="1"/>
    <cellStyle name="Hyperlink" xfId="1684" builtinId="8" hidden="1"/>
    <cellStyle name="Hyperlink" xfId="3" builtinId="8" hidden="1"/>
    <cellStyle name="Hyperlink" xfId="295" builtinId="8" hidden="1"/>
    <cellStyle name="Hyperlink" xfId="1652" builtinId="8" hidden="1"/>
    <cellStyle name="Hyperlink" xfId="1134" builtinId="8" hidden="1"/>
    <cellStyle name="Hyperlink" xfId="1036" builtinId="8" hidden="1"/>
    <cellStyle name="Hyperlink" xfId="528" builtinId="8" hidden="1"/>
    <cellStyle name="Hyperlink" xfId="1278" builtinId="8" hidden="1"/>
    <cellStyle name="Hyperlink" xfId="720" builtinId="8" hidden="1"/>
    <cellStyle name="Hyperlink" xfId="984" builtinId="8" hidden="1"/>
    <cellStyle name="Hyperlink" xfId="289" builtinId="8" hidden="1"/>
    <cellStyle name="Hyperlink" xfId="756" builtinId="8" hidden="1"/>
    <cellStyle name="Hyperlink" xfId="1012" builtinId="8" hidden="1"/>
    <cellStyle name="Hyperlink" xfId="1688" builtinId="8" hidden="1"/>
    <cellStyle name="Hyperlink" xfId="1602" builtinId="8" hidden="1"/>
    <cellStyle name="Hyperlink" xfId="976" builtinId="8" hidden="1"/>
    <cellStyle name="Hyperlink" xfId="1018" builtinId="8" hidden="1"/>
    <cellStyle name="Hyperlink" xfId="1050" builtinId="8" hidden="1"/>
    <cellStyle name="Hyperlink" xfId="1126" builtinId="8" hidden="1"/>
    <cellStyle name="Hyperlink" xfId="1146" builtinId="8" hidden="1"/>
    <cellStyle name="Hyperlink" xfId="1170" builtinId="8" hidden="1"/>
    <cellStyle name="Hyperlink" xfId="1246" builtinId="8" hidden="1"/>
    <cellStyle name="Hyperlink" xfId="1272" builtinId="8" hidden="1"/>
    <cellStyle name="Hyperlink" xfId="427" builtinId="8" hidden="1"/>
    <cellStyle name="Hyperlink" xfId="407" builtinId="8" hidden="1"/>
    <cellStyle name="Hyperlink" xfId="267" builtinId="8" hidden="1"/>
    <cellStyle name="Hyperlink" xfId="836" builtinId="8" hidden="1"/>
    <cellStyle name="Hyperlink" xfId="113" builtinId="8" hidden="1"/>
    <cellStyle name="Hyperlink" xfId="417" builtinId="8" hidden="1"/>
    <cellStyle name="Hyperlink" xfId="1422" builtinId="8" hidden="1"/>
    <cellStyle name="Hyperlink" xfId="662" builtinId="8" hidden="1"/>
    <cellStyle name="Hyperlink" xfId="1554" builtinId="8" hidden="1"/>
    <cellStyle name="Hyperlink" xfId="1572" builtinId="8" hidden="1"/>
    <cellStyle name="Hyperlink" xfId="1116" builtinId="8" hidden="1"/>
    <cellStyle name="Hyperlink" xfId="560" builtinId="8" hidden="1"/>
    <cellStyle name="Hyperlink" xfId="1438" builtinId="8" hidden="1"/>
    <cellStyle name="Hyperlink" xfId="1398" builtinId="8" hidden="1"/>
    <cellStyle name="Hyperlink" xfId="1576" builtinId="8" hidden="1"/>
    <cellStyle name="Hyperlink" xfId="1512" builtinId="8" hidden="1"/>
    <cellStyle name="Hyperlink" xfId="1488" builtinId="8" hidden="1"/>
    <cellStyle name="Hyperlink" xfId="1680" builtinId="8" hidden="1"/>
    <cellStyle name="Hyperlink" xfId="1216" builtinId="8" hidden="1"/>
    <cellStyle name="Hyperlink" xfId="570" builtinId="8" hidden="1"/>
    <cellStyle name="Hyperlink" xfId="337" builtinId="8" hidden="1"/>
    <cellStyle name="Hyperlink" xfId="1200" builtinId="8" hidden="1"/>
    <cellStyle name="Hyperlink" xfId="1000" builtinId="8" hidden="1"/>
    <cellStyle name="Hyperlink" xfId="1268" builtinId="8" hidden="1"/>
    <cellStyle name="Hyperlink" xfId="353" builtinId="8" hidden="1"/>
    <cellStyle name="Hyperlink" xfId="914" builtinId="8" hidden="1"/>
    <cellStyle name="Hyperlink" xfId="1158" builtinId="8" hidden="1"/>
    <cellStyle name="Hyperlink" xfId="1694" builtinId="8" hidden="1"/>
    <cellStyle name="Hyperlink" xfId="1480" builtinId="8" hidden="1"/>
    <cellStyle name="Hyperlink" xfId="778" builtinId="8" hidden="1"/>
    <cellStyle name="Hyperlink" xfId="1454" builtinId="8" hidden="1"/>
    <cellStyle name="Hyperlink" xfId="1210" builtinId="8" hidden="1"/>
    <cellStyle name="Hyperlink" xfId="251" builtinId="8" hidden="1"/>
    <cellStyle name="Hyperlink" xfId="500" builtinId="8" hidden="1"/>
    <cellStyle name="Hyperlink" xfId="163" builtinId="8" hidden="1"/>
    <cellStyle name="Hyperlink" xfId="173" builtinId="8" hidden="1"/>
    <cellStyle name="Hyperlink" xfId="7" builtinId="8" hidden="1"/>
    <cellStyle name="Hyperlink" xfId="780" builtinId="8" hidden="1"/>
    <cellStyle name="Hyperlink" xfId="840" builtinId="8" hidden="1"/>
    <cellStyle name="Hyperlink" xfId="862" builtinId="8" hidden="1"/>
    <cellStyle name="Hyperlink" xfId="1196" builtinId="8" hidden="1"/>
    <cellStyle name="Hyperlink" xfId="1194" builtinId="8" hidden="1"/>
    <cellStyle name="Hyperlink" xfId="1518" builtinId="8" hidden="1"/>
    <cellStyle name="Hyperlink" xfId="421" builtinId="8" hidden="1"/>
    <cellStyle name="Hyperlink" xfId="1546" builtinId="8" hidden="1"/>
    <cellStyle name="Hyperlink" xfId="558" builtinId="8" hidden="1"/>
    <cellStyle name="Hyperlink" xfId="548" builtinId="8" hidden="1"/>
    <cellStyle name="Hyperlink" xfId="219" builtinId="8" hidden="1"/>
    <cellStyle name="Hyperlink" xfId="1148" builtinId="8" hidden="1"/>
    <cellStyle name="Hyperlink" xfId="287" builtinId="8" hidden="1"/>
    <cellStyle name="Hyperlink" xfId="463" builtinId="8" hidden="1"/>
    <cellStyle name="Hyperlink" xfId="1098" builtinId="8" hidden="1"/>
    <cellStyle name="Hyperlink" xfId="712" builtinId="8" hidden="1"/>
    <cellStyle name="Hyperlink" xfId="1432" builtinId="8" hidden="1"/>
    <cellStyle name="Hyperlink" xfId="502" builtinId="8" hidden="1"/>
    <cellStyle name="Hyperlink" xfId="179" builtinId="8" hidden="1"/>
    <cellStyle name="Hyperlink" xfId="217" builtinId="8" hidden="1"/>
    <cellStyle name="Hyperlink" xfId="371" builtinId="8" hidden="1"/>
    <cellStyle name="Hyperlink" xfId="125" builtinId="8" hidden="1"/>
    <cellStyle name="Hyperlink" xfId="576" builtinId="8" hidden="1"/>
    <cellStyle name="Hyperlink" xfId="137" builtinId="8" hidden="1"/>
    <cellStyle name="Hyperlink" xfId="520" builtinId="8" hidden="1"/>
    <cellStyle name="Hyperlink" xfId="199" builtinId="8" hidden="1"/>
    <cellStyle name="Hyperlink" xfId="115" builtinId="8" hidden="1"/>
    <cellStyle name="Hyperlink" xfId="1288" builtinId="8" hidden="1"/>
    <cellStyle name="Hyperlink" xfId="1138" builtinId="8" hidden="1"/>
    <cellStyle name="Hyperlink" xfId="1064" builtinId="8" hidden="1"/>
    <cellStyle name="Hyperlink" xfId="1710" builtinId="8" hidden="1"/>
    <cellStyle name="Hyperlink" xfId="948" builtinId="8" hidden="1"/>
    <cellStyle name="Hyperlink" xfId="391" builtinId="8" hidden="1"/>
    <cellStyle name="Hyperlink" xfId="1362" builtinId="8" hidden="1"/>
    <cellStyle name="Hyperlink" xfId="181" builtinId="8" hidden="1"/>
    <cellStyle name="Hyperlink" xfId="365" builtinId="8" hidden="1"/>
    <cellStyle name="Hyperlink" xfId="1416" builtinId="8" hidden="1"/>
    <cellStyle name="Hyperlink" xfId="1566" builtinId="8" hidden="1"/>
    <cellStyle name="Hyperlink" xfId="1626" builtinId="8" hidden="1"/>
    <cellStyle name="Hyperlink" xfId="1610" builtinId="8" hidden="1"/>
    <cellStyle name="Hyperlink" xfId="471" builtinId="8" hidden="1"/>
    <cellStyle name="Hyperlink" xfId="1242" builtinId="8" hidden="1"/>
    <cellStyle name="Hyperlink" xfId="1010" builtinId="8" hidden="1"/>
    <cellStyle name="Hyperlink" xfId="397" builtinId="8" hidden="1"/>
    <cellStyle name="Hyperlink" xfId="239" builtinId="8" hidden="1"/>
    <cellStyle name="Hyperlink" xfId="714" builtinId="8" hidden="1"/>
    <cellStyle name="Hyperlink" xfId="824" builtinId="8" hidden="1"/>
    <cellStyle name="Hyperlink" xfId="588" builtinId="8" hidden="1"/>
    <cellStyle name="Hyperlink" xfId="786" builtinId="8" hidden="1"/>
    <cellStyle name="Hyperlink" xfId="752" builtinId="8" hidden="1"/>
    <cellStyle name="Hyperlink" xfId="369" builtinId="8" hidden="1"/>
    <cellStyle name="Hyperlink" xfId="367" builtinId="8" hidden="1"/>
    <cellStyle name="Hyperlink" xfId="1172" builtinId="8" hidden="1"/>
    <cellStyle name="Hyperlink" xfId="1320" builtinId="8" hidden="1"/>
    <cellStyle name="Hyperlink" xfId="1186" builtinId="8" hidden="1"/>
    <cellStyle name="Hyperlink" xfId="1588" builtinId="8" hidden="1"/>
    <cellStyle name="Hyperlink" xfId="105" builtinId="8" hidden="1"/>
    <cellStyle name="Hyperlink" xfId="29" builtinId="8" hidden="1"/>
    <cellStyle name="Hyperlink" xfId="23" builtinId="8" hidden="1"/>
    <cellStyle name="Hyperlink" xfId="93" builtinId="8" hidden="1"/>
    <cellStyle name="Hyperlink" xfId="233" builtinId="8" hidden="1"/>
    <cellStyle name="Hyperlink" xfId="556" builtinId="8" hidden="1"/>
    <cellStyle name="Hyperlink" xfId="724" builtinId="8" hidden="1"/>
    <cellStyle name="Hyperlink" xfId="1606" builtinId="8" hidden="1"/>
    <cellStyle name="Hyperlink" xfId="516" builtinId="8" hidden="1"/>
    <cellStyle name="Hyperlink" xfId="764" builtinId="8" hidden="1"/>
    <cellStyle name="Hyperlink" xfId="333" builtinId="8" hidden="1"/>
    <cellStyle name="Hyperlink" xfId="830" builtinId="8" hidden="1"/>
    <cellStyle name="Hyperlink" xfId="790" builtinId="8" hidden="1"/>
    <cellStyle name="Hyperlink" xfId="1492" builtinId="8" hidden="1"/>
    <cellStyle name="Hyperlink" xfId="970" builtinId="8" hidden="1"/>
    <cellStyle name="Hyperlink" xfId="1042" builtinId="8" hidden="1"/>
    <cellStyle name="Hyperlink" xfId="1270" builtinId="8" hidden="1"/>
    <cellStyle name="Hyperlink" xfId="1168" builtinId="8" hidden="1"/>
    <cellStyle name="Hyperlink" xfId="838" builtinId="8" hidden="1"/>
    <cellStyle name="Hyperlink" xfId="71" builtinId="8" hidden="1"/>
    <cellStyle name="Hyperlink" xfId="1715" builtinId="8"/>
    <cellStyle name="Neutraal" xfId="1714" builtinId="28"/>
    <cellStyle name="Normale 2" xfId="1712" xr:uid="{00000000-0005-0000-0000-0000B1060000}"/>
    <cellStyle name="Procent" xfId="497" builtinId="5"/>
    <cellStyle name="Standaard" xfId="0" builtinId="0"/>
  </cellStyles>
  <dxfs count="0"/>
  <tableStyles count="0" defaultTableStyle="TableStyleMedium9" defaultPivotStyle="PivotStyleMedium4"/>
  <colors>
    <mruColors>
      <color rgb="FF0088C4"/>
      <color rgb="FFE2E2E2"/>
      <color rgb="FF90CAE4"/>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STALL Series - 8 Channels'!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87630</xdr:rowOff>
    </xdr:from>
    <xdr:to>
      <xdr:col>0</xdr:col>
      <xdr:colOff>3162419</xdr:colOff>
      <xdr:row>5</xdr:row>
      <xdr:rowOff>17145</xdr:rowOff>
    </xdr:to>
    <xdr:pic>
      <xdr:nvPicPr>
        <xdr:cNvPr id="2" name="Picture 8">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stretch>
          <a:fillRect/>
        </a:stretch>
      </xdr:blipFill>
      <xdr:spPr bwMode="auto">
        <a:xfrm>
          <a:off x="0" y="87630"/>
          <a:ext cx="3162419" cy="986790"/>
        </a:xfrm>
        <a:prstGeom prst="rect">
          <a:avLst/>
        </a:prstGeom>
        <a:noFill/>
        <a:ln w="9525" cap="flat">
          <a:noFill/>
          <a:round/>
          <a:headEnd/>
          <a:tailEnd/>
        </a:ln>
        <a:effectLst/>
      </xdr:spPr>
    </xdr:pic>
    <xdr:clientData/>
  </xdr:twoCellAnchor>
  <xdr:twoCellAnchor editAs="oneCell">
    <xdr:from>
      <xdr:col>9</xdr:col>
      <xdr:colOff>415290</xdr:colOff>
      <xdr:row>5</xdr:row>
      <xdr:rowOff>472440</xdr:rowOff>
    </xdr:from>
    <xdr:to>
      <xdr:col>12</xdr:col>
      <xdr:colOff>308610</xdr:colOff>
      <xdr:row>6</xdr:row>
      <xdr:rowOff>207645</xdr:rowOff>
    </xdr:to>
    <xdr:pic>
      <xdr:nvPicPr>
        <xdr:cNvPr id="3" name="Immagine 2" descr="20130523-GO.png">
          <a:hlinkClick xmlns:r="http://schemas.openxmlformats.org/officeDocument/2006/relationships" r:id="rId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stretch>
          <a:fillRect/>
        </a:stretch>
      </xdr:blipFill>
      <xdr:spPr>
        <a:xfrm>
          <a:off x="8692515" y="1529715"/>
          <a:ext cx="1922145" cy="497205"/>
        </a:xfrm>
        <a:prstGeom prst="rect">
          <a:avLst/>
        </a:prstGeom>
        <a:ln>
          <a:noFill/>
        </a:ln>
        <a:effectLst>
          <a:outerShdw blurRad="292100" dist="139700" dir="2700000" sx="90000" sy="90000" algn="tl" rotWithShape="0">
            <a:srgbClr val="333333">
              <a:alpha val="65000"/>
            </a:srgbClr>
          </a:outerShdw>
        </a:effectLst>
      </xdr:spPr>
    </xdr:pic>
    <xdr:clientData/>
  </xdr:twoCellAnchor>
  <xdr:twoCellAnchor>
    <xdr:from>
      <xdr:col>9</xdr:col>
      <xdr:colOff>669473</xdr:colOff>
      <xdr:row>9</xdr:row>
      <xdr:rowOff>42208</xdr:rowOff>
    </xdr:from>
    <xdr:to>
      <xdr:col>11</xdr:col>
      <xdr:colOff>561975</xdr:colOff>
      <xdr:row>11</xdr:row>
      <xdr:rowOff>462919</xdr:rowOff>
    </xdr:to>
    <xdr:grpSp>
      <xdr:nvGrpSpPr>
        <xdr:cNvPr id="4" name="Gruppo 3">
          <a:extLst>
            <a:ext uri="{FF2B5EF4-FFF2-40B4-BE49-F238E27FC236}">
              <a16:creationId xmlns:a16="http://schemas.microsoft.com/office/drawing/2014/main" id="{00000000-0008-0000-0000-000004000000}"/>
            </a:ext>
          </a:extLst>
        </xdr:cNvPr>
        <xdr:cNvGrpSpPr/>
      </xdr:nvGrpSpPr>
      <xdr:grpSpPr>
        <a:xfrm>
          <a:off x="8946698" y="2975908"/>
          <a:ext cx="1245052" cy="1182711"/>
          <a:chOff x="-708799" y="3843885"/>
          <a:chExt cx="571500" cy="546446"/>
        </a:xfrm>
        <a:solidFill>
          <a:schemeClr val="tx1"/>
        </a:solidFill>
      </xdr:grpSpPr>
      <xdr:sp macro="" textlink="">
        <xdr:nvSpPr>
          <xdr:cNvPr id="5" name="Figura a mano libera: forma 4">
            <a:extLst>
              <a:ext uri="{FF2B5EF4-FFF2-40B4-BE49-F238E27FC236}">
                <a16:creationId xmlns:a16="http://schemas.microsoft.com/office/drawing/2014/main" id="{00000000-0008-0000-0000-000005000000}"/>
              </a:ext>
            </a:extLst>
          </xdr:cNvPr>
          <xdr:cNvSpPr/>
        </xdr:nvSpPr>
        <xdr:spPr>
          <a:xfrm>
            <a:off x="-680003" y="4304598"/>
            <a:ext cx="47625" cy="85725"/>
          </a:xfrm>
          <a:custGeom>
            <a:avLst/>
            <a:gdLst>
              <a:gd name="connsiteX0" fmla="*/ 46511 w 47625"/>
              <a:gd name="connsiteY0" fmla="*/ 46788 h 85725"/>
              <a:gd name="connsiteX1" fmla="*/ 40034 w 47625"/>
              <a:gd name="connsiteY1" fmla="*/ 41844 h 85725"/>
              <a:gd name="connsiteX2" fmla="*/ 32937 w 47625"/>
              <a:gd name="connsiteY2" fmla="*/ 38168 h 85725"/>
              <a:gd name="connsiteX3" fmla="*/ 26003 w 47625"/>
              <a:gd name="connsiteY3" fmla="*/ 34920 h 85725"/>
              <a:gd name="connsiteX4" fmla="*/ 20222 w 47625"/>
              <a:gd name="connsiteY4" fmla="*/ 31557 h 85725"/>
              <a:gd name="connsiteX5" fmla="*/ 16412 w 47625"/>
              <a:gd name="connsiteY5" fmla="*/ 27633 h 85725"/>
              <a:gd name="connsiteX6" fmla="*/ 15116 w 47625"/>
              <a:gd name="connsiteY6" fmla="*/ 22670 h 85725"/>
              <a:gd name="connsiteX7" fmla="*/ 15821 w 47625"/>
              <a:gd name="connsiteY7" fmla="*/ 18860 h 85725"/>
              <a:gd name="connsiteX8" fmla="*/ 17850 w 47625"/>
              <a:gd name="connsiteY8" fmla="*/ 15898 h 85725"/>
              <a:gd name="connsiteX9" fmla="*/ 21469 w 47625"/>
              <a:gd name="connsiteY9" fmla="*/ 13803 h 85725"/>
              <a:gd name="connsiteX10" fmla="*/ 26880 w 47625"/>
              <a:gd name="connsiteY10" fmla="*/ 13012 h 85725"/>
              <a:gd name="connsiteX11" fmla="*/ 33042 w 47625"/>
              <a:gd name="connsiteY11" fmla="*/ 13860 h 85725"/>
              <a:gd name="connsiteX12" fmla="*/ 37929 w 47625"/>
              <a:gd name="connsiteY12" fmla="*/ 15765 h 85725"/>
              <a:gd name="connsiteX13" fmla="*/ 41281 w 47625"/>
              <a:gd name="connsiteY13" fmla="*/ 17603 h 85725"/>
              <a:gd name="connsiteX14" fmla="*/ 44139 w 47625"/>
              <a:gd name="connsiteY14" fmla="*/ 19251 h 85725"/>
              <a:gd name="connsiteX15" fmla="*/ 44139 w 47625"/>
              <a:gd name="connsiteY15" fmla="*/ 4173 h 85725"/>
              <a:gd name="connsiteX16" fmla="*/ 43110 w 47625"/>
              <a:gd name="connsiteY16" fmla="*/ 3658 h 85725"/>
              <a:gd name="connsiteX17" fmla="*/ 38729 w 47625"/>
              <a:gd name="connsiteY17" fmla="*/ 1849 h 85725"/>
              <a:gd name="connsiteX18" fmla="*/ 33185 w 47625"/>
              <a:gd name="connsiteY18" fmla="*/ 506 h 85725"/>
              <a:gd name="connsiteX19" fmla="*/ 27299 w 47625"/>
              <a:gd name="connsiteY19" fmla="*/ 1 h 85725"/>
              <a:gd name="connsiteX20" fmla="*/ 16669 w 47625"/>
              <a:gd name="connsiteY20" fmla="*/ 1534 h 85725"/>
              <a:gd name="connsiteX21" fmla="*/ 7991 w 47625"/>
              <a:gd name="connsiteY21" fmla="*/ 6087 h 85725"/>
              <a:gd name="connsiteX22" fmla="*/ 2191 w 47625"/>
              <a:gd name="connsiteY22" fmla="*/ 13603 h 85725"/>
              <a:gd name="connsiteX23" fmla="*/ 114 w 47625"/>
              <a:gd name="connsiteY23" fmla="*/ 23699 h 85725"/>
              <a:gd name="connsiteX24" fmla="*/ 1943 w 47625"/>
              <a:gd name="connsiteY24" fmla="*/ 33224 h 85725"/>
              <a:gd name="connsiteX25" fmla="*/ 6591 w 47625"/>
              <a:gd name="connsiteY25" fmla="*/ 40101 h 85725"/>
              <a:gd name="connsiteX26" fmla="*/ 12954 w 47625"/>
              <a:gd name="connsiteY26" fmla="*/ 45092 h 85725"/>
              <a:gd name="connsiteX27" fmla="*/ 20012 w 47625"/>
              <a:gd name="connsiteY27" fmla="*/ 48826 h 85725"/>
              <a:gd name="connsiteX28" fmla="*/ 26927 w 47625"/>
              <a:gd name="connsiteY28" fmla="*/ 52045 h 85725"/>
              <a:gd name="connsiteX29" fmla="*/ 32642 w 47625"/>
              <a:gd name="connsiteY29" fmla="*/ 55332 h 85725"/>
              <a:gd name="connsiteX30" fmla="*/ 36405 w 47625"/>
              <a:gd name="connsiteY30" fmla="*/ 59227 h 85725"/>
              <a:gd name="connsiteX31" fmla="*/ 37709 w 47625"/>
              <a:gd name="connsiteY31" fmla="*/ 64257 h 85725"/>
              <a:gd name="connsiteX32" fmla="*/ 36757 w 47625"/>
              <a:gd name="connsiteY32" fmla="*/ 69333 h 85725"/>
              <a:gd name="connsiteX33" fmla="*/ 33966 w 47625"/>
              <a:gd name="connsiteY33" fmla="*/ 73010 h 85725"/>
              <a:gd name="connsiteX34" fmla="*/ 29442 w 47625"/>
              <a:gd name="connsiteY34" fmla="*/ 75401 h 85725"/>
              <a:gd name="connsiteX35" fmla="*/ 23422 w 47625"/>
              <a:gd name="connsiteY35" fmla="*/ 76277 h 85725"/>
              <a:gd name="connsiteX36" fmla="*/ 15583 w 47625"/>
              <a:gd name="connsiteY36" fmla="*/ 75229 h 85725"/>
              <a:gd name="connsiteX37" fmla="*/ 9668 w 47625"/>
              <a:gd name="connsiteY37" fmla="*/ 72924 h 85725"/>
              <a:gd name="connsiteX38" fmla="*/ 2810 w 47625"/>
              <a:gd name="connsiteY38" fmla="*/ 69210 h 85725"/>
              <a:gd name="connsiteX39" fmla="*/ 0 w 47625"/>
              <a:gd name="connsiteY39" fmla="*/ 67628 h 85725"/>
              <a:gd name="connsiteX40" fmla="*/ 0 w 47625"/>
              <a:gd name="connsiteY40" fmla="*/ 83307 h 85725"/>
              <a:gd name="connsiteX41" fmla="*/ 1019 w 47625"/>
              <a:gd name="connsiteY41" fmla="*/ 83840 h 85725"/>
              <a:gd name="connsiteX42" fmla="*/ 8134 w 47625"/>
              <a:gd name="connsiteY42" fmla="*/ 86926 h 85725"/>
              <a:gd name="connsiteX43" fmla="*/ 14802 w 47625"/>
              <a:gd name="connsiteY43" fmla="*/ 88736 h 85725"/>
              <a:gd name="connsiteX44" fmla="*/ 22927 w 47625"/>
              <a:gd name="connsiteY44" fmla="*/ 89479 h 85725"/>
              <a:gd name="connsiteX45" fmla="*/ 34642 w 47625"/>
              <a:gd name="connsiteY45" fmla="*/ 87793 h 85725"/>
              <a:gd name="connsiteX46" fmla="*/ 44301 w 47625"/>
              <a:gd name="connsiteY46" fmla="*/ 82640 h 85725"/>
              <a:gd name="connsiteX47" fmla="*/ 50787 w 47625"/>
              <a:gd name="connsiteY47" fmla="*/ 74248 h 85725"/>
              <a:gd name="connsiteX48" fmla="*/ 53121 w 47625"/>
              <a:gd name="connsiteY48" fmla="*/ 63018 h 85725"/>
              <a:gd name="connsiteX49" fmla="*/ 51311 w 47625"/>
              <a:gd name="connsiteY49" fmla="*/ 53655 h 85725"/>
              <a:gd name="connsiteX50" fmla="*/ 46511 w 47625"/>
              <a:gd name="connsiteY50" fmla="*/ 46788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Lst>
            <a:rect l="l" t="t" r="r" b="b"/>
            <a:pathLst>
              <a:path w="47625" h="85725">
                <a:moveTo>
                  <a:pt x="46511" y="46788"/>
                </a:moveTo>
                <a:cubicBezTo>
                  <a:pt x="44577" y="44864"/>
                  <a:pt x="42400" y="43201"/>
                  <a:pt x="40034" y="41844"/>
                </a:cubicBezTo>
                <a:cubicBezTo>
                  <a:pt x="37719" y="40520"/>
                  <a:pt x="35347" y="39282"/>
                  <a:pt x="32937" y="38168"/>
                </a:cubicBezTo>
                <a:lnTo>
                  <a:pt x="26003" y="34920"/>
                </a:lnTo>
                <a:cubicBezTo>
                  <a:pt x="23977" y="33978"/>
                  <a:pt x="22042" y="32853"/>
                  <a:pt x="20222" y="31557"/>
                </a:cubicBezTo>
                <a:cubicBezTo>
                  <a:pt x="18715" y="30502"/>
                  <a:pt x="17422" y="29170"/>
                  <a:pt x="16412" y="27633"/>
                </a:cubicBezTo>
                <a:cubicBezTo>
                  <a:pt x="15502" y="26141"/>
                  <a:pt x="15051" y="24416"/>
                  <a:pt x="15116" y="22670"/>
                </a:cubicBezTo>
                <a:cubicBezTo>
                  <a:pt x="15104" y="21366"/>
                  <a:pt x="15343" y="20073"/>
                  <a:pt x="15821" y="18860"/>
                </a:cubicBezTo>
                <a:cubicBezTo>
                  <a:pt x="16258" y="17729"/>
                  <a:pt x="16953" y="16714"/>
                  <a:pt x="17850" y="15898"/>
                </a:cubicBezTo>
                <a:cubicBezTo>
                  <a:pt x="18904" y="14966"/>
                  <a:pt x="20135" y="14253"/>
                  <a:pt x="21469" y="13803"/>
                </a:cubicBezTo>
                <a:cubicBezTo>
                  <a:pt x="23212" y="13223"/>
                  <a:pt x="25044" y="12956"/>
                  <a:pt x="26880" y="13012"/>
                </a:cubicBezTo>
                <a:cubicBezTo>
                  <a:pt x="28965" y="12983"/>
                  <a:pt x="31042" y="13269"/>
                  <a:pt x="33042" y="13860"/>
                </a:cubicBezTo>
                <a:cubicBezTo>
                  <a:pt x="34721" y="14360"/>
                  <a:pt x="36355" y="14997"/>
                  <a:pt x="37929" y="15765"/>
                </a:cubicBezTo>
                <a:cubicBezTo>
                  <a:pt x="39253" y="16451"/>
                  <a:pt x="40338" y="17060"/>
                  <a:pt x="41281" y="17603"/>
                </a:cubicBezTo>
                <a:lnTo>
                  <a:pt x="44139" y="19251"/>
                </a:lnTo>
                <a:lnTo>
                  <a:pt x="44139" y="4173"/>
                </a:lnTo>
                <a:lnTo>
                  <a:pt x="43110" y="3658"/>
                </a:lnTo>
                <a:cubicBezTo>
                  <a:pt x="41698" y="2945"/>
                  <a:pt x="40233" y="2340"/>
                  <a:pt x="38729" y="1849"/>
                </a:cubicBezTo>
                <a:cubicBezTo>
                  <a:pt x="36914" y="1273"/>
                  <a:pt x="35062" y="824"/>
                  <a:pt x="33185" y="506"/>
                </a:cubicBezTo>
                <a:cubicBezTo>
                  <a:pt x="31241" y="169"/>
                  <a:pt x="29271" y="0"/>
                  <a:pt x="27299" y="1"/>
                </a:cubicBezTo>
                <a:cubicBezTo>
                  <a:pt x="23698" y="-24"/>
                  <a:pt x="20115" y="493"/>
                  <a:pt x="16669" y="1534"/>
                </a:cubicBezTo>
                <a:cubicBezTo>
                  <a:pt x="13508" y="2474"/>
                  <a:pt x="10560" y="4020"/>
                  <a:pt x="7991" y="6087"/>
                </a:cubicBezTo>
                <a:cubicBezTo>
                  <a:pt x="5516" y="8123"/>
                  <a:pt x="3533" y="10692"/>
                  <a:pt x="2191" y="13603"/>
                </a:cubicBezTo>
                <a:cubicBezTo>
                  <a:pt x="775" y="16778"/>
                  <a:pt x="67" y="20223"/>
                  <a:pt x="114" y="23699"/>
                </a:cubicBezTo>
                <a:cubicBezTo>
                  <a:pt x="39" y="26968"/>
                  <a:pt x="662" y="30215"/>
                  <a:pt x="1943" y="33224"/>
                </a:cubicBezTo>
                <a:cubicBezTo>
                  <a:pt x="3084" y="35767"/>
                  <a:pt x="4657" y="38094"/>
                  <a:pt x="6591" y="40101"/>
                </a:cubicBezTo>
                <a:cubicBezTo>
                  <a:pt x="8485" y="42037"/>
                  <a:pt x="10624" y="43714"/>
                  <a:pt x="12954" y="45092"/>
                </a:cubicBezTo>
                <a:cubicBezTo>
                  <a:pt x="15241" y="46456"/>
                  <a:pt x="17597" y="47703"/>
                  <a:pt x="20012" y="48826"/>
                </a:cubicBezTo>
                <a:lnTo>
                  <a:pt x="26927" y="52045"/>
                </a:lnTo>
                <a:cubicBezTo>
                  <a:pt x="28934" y="52954"/>
                  <a:pt x="30848" y="54054"/>
                  <a:pt x="32642" y="55332"/>
                </a:cubicBezTo>
                <a:cubicBezTo>
                  <a:pt x="34131" y="56381"/>
                  <a:pt x="35407" y="57703"/>
                  <a:pt x="36405" y="59227"/>
                </a:cubicBezTo>
                <a:cubicBezTo>
                  <a:pt x="37320" y="60741"/>
                  <a:pt x="37773" y="62489"/>
                  <a:pt x="37709" y="64257"/>
                </a:cubicBezTo>
                <a:cubicBezTo>
                  <a:pt x="37756" y="65998"/>
                  <a:pt x="37431" y="67728"/>
                  <a:pt x="36757" y="69333"/>
                </a:cubicBezTo>
                <a:cubicBezTo>
                  <a:pt x="36129" y="70762"/>
                  <a:pt x="35173" y="72021"/>
                  <a:pt x="33966" y="73010"/>
                </a:cubicBezTo>
                <a:cubicBezTo>
                  <a:pt x="32621" y="74083"/>
                  <a:pt x="31087" y="74895"/>
                  <a:pt x="29442" y="75401"/>
                </a:cubicBezTo>
                <a:cubicBezTo>
                  <a:pt x="27492" y="75999"/>
                  <a:pt x="25461" y="76295"/>
                  <a:pt x="23422" y="76277"/>
                </a:cubicBezTo>
                <a:cubicBezTo>
                  <a:pt x="20771" y="76325"/>
                  <a:pt x="18128" y="75971"/>
                  <a:pt x="15583" y="75229"/>
                </a:cubicBezTo>
                <a:cubicBezTo>
                  <a:pt x="13552" y="74622"/>
                  <a:pt x="11575" y="73850"/>
                  <a:pt x="9668" y="72924"/>
                </a:cubicBezTo>
                <a:cubicBezTo>
                  <a:pt x="8506" y="72343"/>
                  <a:pt x="5163" y="70524"/>
                  <a:pt x="2810" y="69210"/>
                </a:cubicBezTo>
                <a:lnTo>
                  <a:pt x="0" y="67628"/>
                </a:lnTo>
                <a:lnTo>
                  <a:pt x="0" y="83307"/>
                </a:lnTo>
                <a:lnTo>
                  <a:pt x="1019" y="83840"/>
                </a:lnTo>
                <a:cubicBezTo>
                  <a:pt x="3338" y="84989"/>
                  <a:pt x="5712" y="86018"/>
                  <a:pt x="8134" y="86926"/>
                </a:cubicBezTo>
                <a:cubicBezTo>
                  <a:pt x="10307" y="87700"/>
                  <a:pt x="12536" y="88305"/>
                  <a:pt x="14802" y="88736"/>
                </a:cubicBezTo>
                <a:cubicBezTo>
                  <a:pt x="17479" y="89247"/>
                  <a:pt x="20201" y="89497"/>
                  <a:pt x="22927" y="89479"/>
                </a:cubicBezTo>
                <a:cubicBezTo>
                  <a:pt x="26895" y="89510"/>
                  <a:pt x="30845" y="88942"/>
                  <a:pt x="34642" y="87793"/>
                </a:cubicBezTo>
                <a:cubicBezTo>
                  <a:pt x="38170" y="86727"/>
                  <a:pt x="41452" y="84976"/>
                  <a:pt x="44301" y="82640"/>
                </a:cubicBezTo>
                <a:cubicBezTo>
                  <a:pt x="47050" y="80350"/>
                  <a:pt x="49264" y="77486"/>
                  <a:pt x="50787" y="74248"/>
                </a:cubicBezTo>
                <a:cubicBezTo>
                  <a:pt x="52383" y="70722"/>
                  <a:pt x="53179" y="66887"/>
                  <a:pt x="53121" y="63018"/>
                </a:cubicBezTo>
                <a:cubicBezTo>
                  <a:pt x="53186" y="59805"/>
                  <a:pt x="52569" y="56614"/>
                  <a:pt x="51311" y="53655"/>
                </a:cubicBezTo>
                <a:cubicBezTo>
                  <a:pt x="50142" y="51093"/>
                  <a:pt x="48516" y="48765"/>
                  <a:pt x="46511" y="46788"/>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6" name="Figura a mano libera: forma 5">
            <a:extLst>
              <a:ext uri="{FF2B5EF4-FFF2-40B4-BE49-F238E27FC236}">
                <a16:creationId xmlns:a16="http://schemas.microsoft.com/office/drawing/2014/main" id="{00000000-0008-0000-0000-000006000000}"/>
              </a:ext>
            </a:extLst>
          </xdr:cNvPr>
          <xdr:cNvSpPr/>
        </xdr:nvSpPr>
        <xdr:spPr>
          <a:xfrm>
            <a:off x="-611794" y="4304589"/>
            <a:ext cx="57150" cy="85725"/>
          </a:xfrm>
          <a:custGeom>
            <a:avLst/>
            <a:gdLst>
              <a:gd name="connsiteX0" fmla="*/ 47396 w 57150"/>
              <a:gd name="connsiteY0" fmla="*/ 36338 h 85725"/>
              <a:gd name="connsiteX1" fmla="*/ 14307 w 57150"/>
              <a:gd name="connsiteY1" fmla="*/ 36338 h 85725"/>
              <a:gd name="connsiteX2" fmla="*/ 14307 w 57150"/>
              <a:gd name="connsiteY2" fmla="*/ 0 h 85725"/>
              <a:gd name="connsiteX3" fmla="*/ 0 w 57150"/>
              <a:gd name="connsiteY3" fmla="*/ 0 h 85725"/>
              <a:gd name="connsiteX4" fmla="*/ 0 w 57150"/>
              <a:gd name="connsiteY4" fmla="*/ 89487 h 85725"/>
              <a:gd name="connsiteX5" fmla="*/ 14307 w 57150"/>
              <a:gd name="connsiteY5" fmla="*/ 89487 h 85725"/>
              <a:gd name="connsiteX6" fmla="*/ 14307 w 57150"/>
              <a:gd name="connsiteY6" fmla="*/ 48539 h 85725"/>
              <a:gd name="connsiteX7" fmla="*/ 47396 w 57150"/>
              <a:gd name="connsiteY7" fmla="*/ 48539 h 85725"/>
              <a:gd name="connsiteX8" fmla="*/ 47396 w 57150"/>
              <a:gd name="connsiteY8" fmla="*/ 89487 h 85725"/>
              <a:gd name="connsiteX9" fmla="*/ 61693 w 57150"/>
              <a:gd name="connsiteY9" fmla="*/ 89487 h 85725"/>
              <a:gd name="connsiteX10" fmla="*/ 61693 w 57150"/>
              <a:gd name="connsiteY10" fmla="*/ 0 h 85725"/>
              <a:gd name="connsiteX11" fmla="*/ 47396 w 57150"/>
              <a:gd name="connsiteY11" fmla="*/ 0 h 85725"/>
              <a:gd name="connsiteX12" fmla="*/ 47396 w 57150"/>
              <a:gd name="connsiteY12" fmla="*/ 36338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57150" h="85725">
                <a:moveTo>
                  <a:pt x="47396" y="36338"/>
                </a:moveTo>
                <a:lnTo>
                  <a:pt x="14307" y="36338"/>
                </a:lnTo>
                <a:lnTo>
                  <a:pt x="14307" y="0"/>
                </a:lnTo>
                <a:lnTo>
                  <a:pt x="0" y="0"/>
                </a:lnTo>
                <a:lnTo>
                  <a:pt x="0" y="89487"/>
                </a:lnTo>
                <a:lnTo>
                  <a:pt x="14307" y="89487"/>
                </a:lnTo>
                <a:lnTo>
                  <a:pt x="14307" y="48539"/>
                </a:lnTo>
                <a:lnTo>
                  <a:pt x="47396" y="48539"/>
                </a:lnTo>
                <a:lnTo>
                  <a:pt x="47396" y="89487"/>
                </a:lnTo>
                <a:lnTo>
                  <a:pt x="61693" y="89487"/>
                </a:lnTo>
                <a:lnTo>
                  <a:pt x="61693" y="0"/>
                </a:lnTo>
                <a:lnTo>
                  <a:pt x="47396" y="0"/>
                </a:lnTo>
                <a:lnTo>
                  <a:pt x="47396" y="36338"/>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7" name="Figura a mano libera: forma 6">
            <a:extLst>
              <a:ext uri="{FF2B5EF4-FFF2-40B4-BE49-F238E27FC236}">
                <a16:creationId xmlns:a16="http://schemas.microsoft.com/office/drawing/2014/main" id="{00000000-0008-0000-0000-000007000000}"/>
              </a:ext>
            </a:extLst>
          </xdr:cNvPr>
          <xdr:cNvSpPr/>
        </xdr:nvSpPr>
        <xdr:spPr>
          <a:xfrm>
            <a:off x="-537213" y="4304589"/>
            <a:ext cx="66675" cy="85725"/>
          </a:xfrm>
          <a:custGeom>
            <a:avLst/>
            <a:gdLst>
              <a:gd name="connsiteX0" fmla="*/ 29928 w 66675"/>
              <a:gd name="connsiteY0" fmla="*/ 0 h 85725"/>
              <a:gd name="connsiteX1" fmla="*/ 0 w 66675"/>
              <a:gd name="connsiteY1" fmla="*/ 89487 h 85725"/>
              <a:gd name="connsiteX2" fmla="*/ 14516 w 66675"/>
              <a:gd name="connsiteY2" fmla="*/ 89487 h 85725"/>
              <a:gd name="connsiteX3" fmla="*/ 21774 w 66675"/>
              <a:gd name="connsiteY3" fmla="*/ 67780 h 85725"/>
              <a:gd name="connsiteX4" fmla="*/ 51730 w 66675"/>
              <a:gd name="connsiteY4" fmla="*/ 67780 h 85725"/>
              <a:gd name="connsiteX5" fmla="*/ 58998 w 66675"/>
              <a:gd name="connsiteY5" fmla="*/ 89487 h 85725"/>
              <a:gd name="connsiteX6" fmla="*/ 73514 w 66675"/>
              <a:gd name="connsiteY6" fmla="*/ 89487 h 85725"/>
              <a:gd name="connsiteX7" fmla="*/ 43567 w 66675"/>
              <a:gd name="connsiteY7" fmla="*/ 0 h 85725"/>
              <a:gd name="connsiteX8" fmla="*/ 25851 w 66675"/>
              <a:gd name="connsiteY8" fmla="*/ 55588 h 85725"/>
              <a:gd name="connsiteX9" fmla="*/ 36747 w 66675"/>
              <a:gd name="connsiteY9" fmla="*/ 22993 h 85725"/>
              <a:gd name="connsiteX10" fmla="*/ 47644 w 66675"/>
              <a:gd name="connsiteY10" fmla="*/ 55588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66675" h="85725">
                <a:moveTo>
                  <a:pt x="29928" y="0"/>
                </a:moveTo>
                <a:lnTo>
                  <a:pt x="0" y="89487"/>
                </a:lnTo>
                <a:lnTo>
                  <a:pt x="14516" y="89487"/>
                </a:lnTo>
                <a:lnTo>
                  <a:pt x="21774" y="67780"/>
                </a:lnTo>
                <a:lnTo>
                  <a:pt x="51730" y="67780"/>
                </a:lnTo>
                <a:lnTo>
                  <a:pt x="58998" y="89487"/>
                </a:lnTo>
                <a:lnTo>
                  <a:pt x="73514" y="89487"/>
                </a:lnTo>
                <a:lnTo>
                  <a:pt x="43567" y="0"/>
                </a:lnTo>
                <a:close/>
                <a:moveTo>
                  <a:pt x="25851" y="55588"/>
                </a:moveTo>
                <a:lnTo>
                  <a:pt x="36747" y="22993"/>
                </a:lnTo>
                <a:lnTo>
                  <a:pt x="47644" y="55588"/>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8" name="Figura a mano libera: forma 7">
            <a:extLst>
              <a:ext uri="{FF2B5EF4-FFF2-40B4-BE49-F238E27FC236}">
                <a16:creationId xmlns:a16="http://schemas.microsoft.com/office/drawing/2014/main" id="{00000000-0008-0000-0000-000008000000}"/>
              </a:ext>
            </a:extLst>
          </xdr:cNvPr>
          <xdr:cNvSpPr/>
        </xdr:nvSpPr>
        <xdr:spPr>
          <a:xfrm>
            <a:off x="-454022" y="4304606"/>
            <a:ext cx="57150" cy="85725"/>
          </a:xfrm>
          <a:custGeom>
            <a:avLst/>
            <a:gdLst>
              <a:gd name="connsiteX0" fmla="*/ 46854 w 57150"/>
              <a:gd name="connsiteY0" fmla="*/ 54095 h 85725"/>
              <a:gd name="connsiteX1" fmla="*/ 42853 w 57150"/>
              <a:gd name="connsiteY1" fmla="*/ 49332 h 85725"/>
              <a:gd name="connsiteX2" fmla="*/ 41491 w 57150"/>
              <a:gd name="connsiteY2" fmla="*/ 48256 h 85725"/>
              <a:gd name="connsiteX3" fmla="*/ 44186 w 57150"/>
              <a:gd name="connsiteY3" fmla="*/ 46932 h 85725"/>
              <a:gd name="connsiteX4" fmla="*/ 50016 w 57150"/>
              <a:gd name="connsiteY4" fmla="*/ 42045 h 85725"/>
              <a:gd name="connsiteX5" fmla="*/ 53959 w 57150"/>
              <a:gd name="connsiteY5" fmla="*/ 35121 h 85725"/>
              <a:gd name="connsiteX6" fmla="*/ 55397 w 57150"/>
              <a:gd name="connsiteY6" fmla="*/ 26463 h 85725"/>
              <a:gd name="connsiteX7" fmla="*/ 54283 w 57150"/>
              <a:gd name="connsiteY7" fmla="*/ 18471 h 85725"/>
              <a:gd name="connsiteX8" fmla="*/ 46301 w 57150"/>
              <a:gd name="connsiteY8" fmla="*/ 6632 h 85725"/>
              <a:gd name="connsiteX9" fmla="*/ 39976 w 57150"/>
              <a:gd name="connsiteY9" fmla="*/ 2936 h 85725"/>
              <a:gd name="connsiteX10" fmla="*/ 32566 w 57150"/>
              <a:gd name="connsiteY10" fmla="*/ 726 h 85725"/>
              <a:gd name="connsiteX11" fmla="*/ 23632 w 57150"/>
              <a:gd name="connsiteY11" fmla="*/ 2 h 85725"/>
              <a:gd name="connsiteX12" fmla="*/ 0 w 57150"/>
              <a:gd name="connsiteY12" fmla="*/ 2 h 85725"/>
              <a:gd name="connsiteX13" fmla="*/ 0 w 57150"/>
              <a:gd name="connsiteY13" fmla="*/ 89537 h 85725"/>
              <a:gd name="connsiteX14" fmla="*/ 14288 w 57150"/>
              <a:gd name="connsiteY14" fmla="*/ 89537 h 85725"/>
              <a:gd name="connsiteX15" fmla="*/ 14288 w 57150"/>
              <a:gd name="connsiteY15" fmla="*/ 52475 h 85725"/>
              <a:gd name="connsiteX16" fmla="*/ 21298 w 57150"/>
              <a:gd name="connsiteY16" fmla="*/ 52475 h 85725"/>
              <a:gd name="connsiteX17" fmla="*/ 27689 w 57150"/>
              <a:gd name="connsiteY17" fmla="*/ 53475 h 85725"/>
              <a:gd name="connsiteX18" fmla="*/ 31499 w 57150"/>
              <a:gd name="connsiteY18" fmla="*/ 56104 h 85725"/>
              <a:gd name="connsiteX19" fmla="*/ 44482 w 57150"/>
              <a:gd name="connsiteY19" fmla="*/ 88166 h 85725"/>
              <a:gd name="connsiteX20" fmla="*/ 44901 w 57150"/>
              <a:gd name="connsiteY20" fmla="*/ 89470 h 85725"/>
              <a:gd name="connsiteX21" fmla="*/ 56845 w 57150"/>
              <a:gd name="connsiteY21" fmla="*/ 89470 h 85725"/>
              <a:gd name="connsiteX22" fmla="*/ 59303 w 57150"/>
              <a:gd name="connsiteY22" fmla="*/ 89470 h 85725"/>
              <a:gd name="connsiteX23" fmla="*/ 58655 w 57150"/>
              <a:gd name="connsiteY23" fmla="*/ 87051 h 85725"/>
              <a:gd name="connsiteX24" fmla="*/ 46854 w 57150"/>
              <a:gd name="connsiteY24" fmla="*/ 54095 h 85725"/>
              <a:gd name="connsiteX25" fmla="*/ 40024 w 57150"/>
              <a:gd name="connsiteY25" fmla="*/ 31844 h 85725"/>
              <a:gd name="connsiteX26" fmla="*/ 36967 w 57150"/>
              <a:gd name="connsiteY26" fmla="*/ 36035 h 85725"/>
              <a:gd name="connsiteX27" fmla="*/ 31785 w 57150"/>
              <a:gd name="connsiteY27" fmla="*/ 38674 h 85725"/>
              <a:gd name="connsiteX28" fmla="*/ 23412 w 57150"/>
              <a:gd name="connsiteY28" fmla="*/ 39626 h 85725"/>
              <a:gd name="connsiteX29" fmla="*/ 14307 w 57150"/>
              <a:gd name="connsiteY29" fmla="*/ 39626 h 85725"/>
              <a:gd name="connsiteX30" fmla="*/ 14307 w 57150"/>
              <a:gd name="connsiteY30" fmla="*/ 13204 h 85725"/>
              <a:gd name="connsiteX31" fmla="*/ 26270 w 57150"/>
              <a:gd name="connsiteY31" fmla="*/ 13204 h 85725"/>
              <a:gd name="connsiteX32" fmla="*/ 32518 w 57150"/>
              <a:gd name="connsiteY32" fmla="*/ 14032 h 85725"/>
              <a:gd name="connsiteX33" fmla="*/ 37024 w 57150"/>
              <a:gd name="connsiteY33" fmla="*/ 16442 h 85725"/>
              <a:gd name="connsiteX34" fmla="*/ 39976 w 57150"/>
              <a:gd name="connsiteY34" fmla="*/ 20309 h 85725"/>
              <a:gd name="connsiteX35" fmla="*/ 41062 w 57150"/>
              <a:gd name="connsiteY35" fmla="*/ 25824 h 85725"/>
              <a:gd name="connsiteX36" fmla="*/ 40024 w 57150"/>
              <a:gd name="connsiteY36" fmla="*/ 31844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Lst>
            <a:rect l="l" t="t" r="r" b="b"/>
            <a:pathLst>
              <a:path w="57150" h="85725">
                <a:moveTo>
                  <a:pt x="46854" y="54095"/>
                </a:moveTo>
                <a:cubicBezTo>
                  <a:pt x="45827" y="52272"/>
                  <a:pt x="44470" y="50658"/>
                  <a:pt x="42853" y="49332"/>
                </a:cubicBezTo>
                <a:cubicBezTo>
                  <a:pt x="42424" y="48961"/>
                  <a:pt x="41967" y="48599"/>
                  <a:pt x="41491" y="48256"/>
                </a:cubicBezTo>
                <a:cubicBezTo>
                  <a:pt x="42419" y="47876"/>
                  <a:pt x="43319" y="47434"/>
                  <a:pt x="44186" y="46932"/>
                </a:cubicBezTo>
                <a:cubicBezTo>
                  <a:pt x="46401" y="45657"/>
                  <a:pt x="48375" y="44004"/>
                  <a:pt x="50016" y="42045"/>
                </a:cubicBezTo>
                <a:cubicBezTo>
                  <a:pt x="51725" y="39985"/>
                  <a:pt x="53059" y="37641"/>
                  <a:pt x="53959" y="35121"/>
                </a:cubicBezTo>
                <a:cubicBezTo>
                  <a:pt x="54939" y="32340"/>
                  <a:pt x="55426" y="29411"/>
                  <a:pt x="55397" y="26463"/>
                </a:cubicBezTo>
                <a:cubicBezTo>
                  <a:pt x="55422" y="23758"/>
                  <a:pt x="55047" y="21066"/>
                  <a:pt x="54283" y="18471"/>
                </a:cubicBezTo>
                <a:cubicBezTo>
                  <a:pt x="52940" y="13780"/>
                  <a:pt x="50146" y="9636"/>
                  <a:pt x="46301" y="6632"/>
                </a:cubicBezTo>
                <a:cubicBezTo>
                  <a:pt x="44364" y="5128"/>
                  <a:pt x="42238" y="3885"/>
                  <a:pt x="39976" y="2936"/>
                </a:cubicBezTo>
                <a:cubicBezTo>
                  <a:pt x="37593" y="1934"/>
                  <a:pt x="35108" y="1193"/>
                  <a:pt x="32566" y="726"/>
                </a:cubicBezTo>
                <a:cubicBezTo>
                  <a:pt x="29615" y="217"/>
                  <a:pt x="26625" y="-25"/>
                  <a:pt x="23632" y="2"/>
                </a:cubicBezTo>
                <a:lnTo>
                  <a:pt x="0" y="2"/>
                </a:lnTo>
                <a:lnTo>
                  <a:pt x="0" y="89537"/>
                </a:lnTo>
                <a:lnTo>
                  <a:pt x="14288" y="89537"/>
                </a:lnTo>
                <a:lnTo>
                  <a:pt x="14288" y="52475"/>
                </a:lnTo>
                <a:lnTo>
                  <a:pt x="21298" y="52475"/>
                </a:lnTo>
                <a:cubicBezTo>
                  <a:pt x="23472" y="52393"/>
                  <a:pt x="25643" y="52733"/>
                  <a:pt x="27689" y="53475"/>
                </a:cubicBezTo>
                <a:cubicBezTo>
                  <a:pt x="29139" y="54057"/>
                  <a:pt x="30441" y="54955"/>
                  <a:pt x="31499" y="56104"/>
                </a:cubicBezTo>
                <a:cubicBezTo>
                  <a:pt x="36903" y="66324"/>
                  <a:pt x="41253" y="77066"/>
                  <a:pt x="44482" y="88166"/>
                </a:cubicBezTo>
                <a:lnTo>
                  <a:pt x="44901" y="89470"/>
                </a:lnTo>
                <a:lnTo>
                  <a:pt x="56845" y="89470"/>
                </a:lnTo>
                <a:lnTo>
                  <a:pt x="59303" y="89470"/>
                </a:lnTo>
                <a:lnTo>
                  <a:pt x="58655" y="87051"/>
                </a:lnTo>
                <a:cubicBezTo>
                  <a:pt x="55687" y="75743"/>
                  <a:pt x="51738" y="64716"/>
                  <a:pt x="46854" y="54095"/>
                </a:cubicBezTo>
                <a:close/>
                <a:moveTo>
                  <a:pt x="40024" y="31844"/>
                </a:moveTo>
                <a:cubicBezTo>
                  <a:pt x="39355" y="33466"/>
                  <a:pt x="38307" y="34904"/>
                  <a:pt x="36967" y="36035"/>
                </a:cubicBezTo>
                <a:cubicBezTo>
                  <a:pt x="35443" y="37268"/>
                  <a:pt x="33678" y="38167"/>
                  <a:pt x="31785" y="38674"/>
                </a:cubicBezTo>
                <a:cubicBezTo>
                  <a:pt x="29051" y="39373"/>
                  <a:pt x="26234" y="39694"/>
                  <a:pt x="23412" y="39626"/>
                </a:cubicBezTo>
                <a:lnTo>
                  <a:pt x="14307" y="39626"/>
                </a:lnTo>
                <a:lnTo>
                  <a:pt x="14307" y="13204"/>
                </a:lnTo>
                <a:lnTo>
                  <a:pt x="26270" y="13204"/>
                </a:lnTo>
                <a:cubicBezTo>
                  <a:pt x="28383" y="13161"/>
                  <a:pt x="30490" y="13440"/>
                  <a:pt x="32518" y="14032"/>
                </a:cubicBezTo>
                <a:cubicBezTo>
                  <a:pt x="34160" y="14543"/>
                  <a:pt x="35688" y="15361"/>
                  <a:pt x="37024" y="16442"/>
                </a:cubicBezTo>
                <a:cubicBezTo>
                  <a:pt x="38292" y="17486"/>
                  <a:pt x="39303" y="18810"/>
                  <a:pt x="39976" y="20309"/>
                </a:cubicBezTo>
                <a:cubicBezTo>
                  <a:pt x="40735" y="22047"/>
                  <a:pt x="41105" y="23929"/>
                  <a:pt x="41062" y="25824"/>
                </a:cubicBezTo>
                <a:cubicBezTo>
                  <a:pt x="41114" y="27880"/>
                  <a:pt x="40761" y="29925"/>
                  <a:pt x="40024" y="31844"/>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9" name="Figura a mano libera: forma 8">
            <a:extLst>
              <a:ext uri="{FF2B5EF4-FFF2-40B4-BE49-F238E27FC236}">
                <a16:creationId xmlns:a16="http://schemas.microsoft.com/office/drawing/2014/main" id="{00000000-0008-0000-0000-000009000000}"/>
              </a:ext>
            </a:extLst>
          </xdr:cNvPr>
          <xdr:cNvSpPr/>
        </xdr:nvSpPr>
        <xdr:spPr>
          <a:xfrm>
            <a:off x="-383042" y="4304589"/>
            <a:ext cx="9525" cy="85725"/>
          </a:xfrm>
          <a:custGeom>
            <a:avLst/>
            <a:gdLst>
              <a:gd name="connsiteX0" fmla="*/ 0 w 9525"/>
              <a:gd name="connsiteY0" fmla="*/ 0 h 85725"/>
              <a:gd name="connsiteX1" fmla="*/ 14307 w 9525"/>
              <a:gd name="connsiteY1" fmla="*/ 0 h 85725"/>
              <a:gd name="connsiteX2" fmla="*/ 14307 w 9525"/>
              <a:gd name="connsiteY2" fmla="*/ 89497 h 85725"/>
              <a:gd name="connsiteX3" fmla="*/ 0 w 9525"/>
              <a:gd name="connsiteY3" fmla="*/ 89497 h 85725"/>
            </a:gdLst>
            <a:ahLst/>
            <a:cxnLst>
              <a:cxn ang="0">
                <a:pos x="connsiteX0" y="connsiteY0"/>
              </a:cxn>
              <a:cxn ang="0">
                <a:pos x="connsiteX1" y="connsiteY1"/>
              </a:cxn>
              <a:cxn ang="0">
                <a:pos x="connsiteX2" y="connsiteY2"/>
              </a:cxn>
              <a:cxn ang="0">
                <a:pos x="connsiteX3" y="connsiteY3"/>
              </a:cxn>
            </a:cxnLst>
            <a:rect l="l" t="t" r="r" b="b"/>
            <a:pathLst>
              <a:path w="9525" h="85725">
                <a:moveTo>
                  <a:pt x="0" y="0"/>
                </a:moveTo>
                <a:lnTo>
                  <a:pt x="14307" y="0"/>
                </a:lnTo>
                <a:lnTo>
                  <a:pt x="14307" y="89497"/>
                </a:lnTo>
                <a:lnTo>
                  <a:pt x="0" y="89497"/>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0" name="Figura a mano libera: forma 9">
            <a:extLst>
              <a:ext uri="{FF2B5EF4-FFF2-40B4-BE49-F238E27FC236}">
                <a16:creationId xmlns:a16="http://schemas.microsoft.com/office/drawing/2014/main" id="{00000000-0008-0000-0000-00000A000000}"/>
              </a:ext>
            </a:extLst>
          </xdr:cNvPr>
          <xdr:cNvSpPr/>
        </xdr:nvSpPr>
        <xdr:spPr>
          <a:xfrm>
            <a:off x="-349228" y="4304589"/>
            <a:ext cx="57150" cy="85725"/>
          </a:xfrm>
          <a:custGeom>
            <a:avLst/>
            <a:gdLst>
              <a:gd name="connsiteX0" fmla="*/ 47387 w 57150"/>
              <a:gd name="connsiteY0" fmla="*/ 61246 h 85725"/>
              <a:gd name="connsiteX1" fmla="*/ 13535 w 57150"/>
              <a:gd name="connsiteY1" fmla="*/ 0 h 85725"/>
              <a:gd name="connsiteX2" fmla="*/ 0 w 57150"/>
              <a:gd name="connsiteY2" fmla="*/ 0 h 85725"/>
              <a:gd name="connsiteX3" fmla="*/ 0 w 57150"/>
              <a:gd name="connsiteY3" fmla="*/ 89487 h 85725"/>
              <a:gd name="connsiteX4" fmla="*/ 14307 w 57150"/>
              <a:gd name="connsiteY4" fmla="*/ 89487 h 85725"/>
              <a:gd name="connsiteX5" fmla="*/ 14307 w 57150"/>
              <a:gd name="connsiteY5" fmla="*/ 28251 h 85725"/>
              <a:gd name="connsiteX6" fmla="*/ 48168 w 57150"/>
              <a:gd name="connsiteY6" fmla="*/ 89487 h 85725"/>
              <a:gd name="connsiteX7" fmla="*/ 61693 w 57150"/>
              <a:gd name="connsiteY7" fmla="*/ 89487 h 85725"/>
              <a:gd name="connsiteX8" fmla="*/ 61693 w 57150"/>
              <a:gd name="connsiteY8" fmla="*/ 0 h 85725"/>
              <a:gd name="connsiteX9" fmla="*/ 47387 w 57150"/>
              <a:gd name="connsiteY9" fmla="*/ 0 h 85725"/>
              <a:gd name="connsiteX10" fmla="*/ 47387 w 57150"/>
              <a:gd name="connsiteY10" fmla="*/ 61246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57150" h="85725">
                <a:moveTo>
                  <a:pt x="47387" y="61246"/>
                </a:moveTo>
                <a:lnTo>
                  <a:pt x="13535" y="0"/>
                </a:lnTo>
                <a:lnTo>
                  <a:pt x="0" y="0"/>
                </a:lnTo>
                <a:lnTo>
                  <a:pt x="0" y="89487"/>
                </a:lnTo>
                <a:lnTo>
                  <a:pt x="14307" y="89487"/>
                </a:lnTo>
                <a:lnTo>
                  <a:pt x="14307" y="28251"/>
                </a:lnTo>
                <a:lnTo>
                  <a:pt x="48168" y="89487"/>
                </a:lnTo>
                <a:lnTo>
                  <a:pt x="61693" y="89487"/>
                </a:lnTo>
                <a:lnTo>
                  <a:pt x="61693" y="0"/>
                </a:lnTo>
                <a:lnTo>
                  <a:pt x="47387" y="0"/>
                </a:lnTo>
                <a:lnTo>
                  <a:pt x="47387" y="61246"/>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1" name="Figura a mano libera: forma 10">
            <a:extLst>
              <a:ext uri="{FF2B5EF4-FFF2-40B4-BE49-F238E27FC236}">
                <a16:creationId xmlns:a16="http://schemas.microsoft.com/office/drawing/2014/main" id="{00000000-0008-0000-0000-00000B000000}"/>
              </a:ext>
            </a:extLst>
          </xdr:cNvPr>
          <xdr:cNvSpPr/>
        </xdr:nvSpPr>
        <xdr:spPr>
          <a:xfrm>
            <a:off x="-268210" y="4304577"/>
            <a:ext cx="66675" cy="85725"/>
          </a:xfrm>
          <a:custGeom>
            <a:avLst/>
            <a:gdLst>
              <a:gd name="connsiteX0" fmla="*/ 36530 w 66675"/>
              <a:gd name="connsiteY0" fmla="*/ 52752 h 85725"/>
              <a:gd name="connsiteX1" fmla="*/ 55085 w 66675"/>
              <a:gd name="connsiteY1" fmla="*/ 52752 h 85725"/>
              <a:gd name="connsiteX2" fmla="*/ 55085 w 66675"/>
              <a:gd name="connsiteY2" fmla="*/ 69011 h 85725"/>
              <a:gd name="connsiteX3" fmla="*/ 38159 w 66675"/>
              <a:gd name="connsiteY3" fmla="*/ 75336 h 85725"/>
              <a:gd name="connsiteX4" fmla="*/ 14461 w 66675"/>
              <a:gd name="connsiteY4" fmla="*/ 45199 h 85725"/>
              <a:gd name="connsiteX5" fmla="*/ 16223 w 66675"/>
              <a:gd name="connsiteY5" fmla="*/ 31092 h 85725"/>
              <a:gd name="connsiteX6" fmla="*/ 21128 w 66675"/>
              <a:gd name="connsiteY6" fmla="*/ 20767 h 85725"/>
              <a:gd name="connsiteX7" fmla="*/ 28615 w 66675"/>
              <a:gd name="connsiteY7" fmla="*/ 14490 h 85725"/>
              <a:gd name="connsiteX8" fmla="*/ 38397 w 66675"/>
              <a:gd name="connsiteY8" fmla="*/ 12356 h 85725"/>
              <a:gd name="connsiteX9" fmla="*/ 46912 w 66675"/>
              <a:gd name="connsiteY9" fmla="*/ 13566 h 85725"/>
              <a:gd name="connsiteX10" fmla="*/ 53018 w 66675"/>
              <a:gd name="connsiteY10" fmla="*/ 16290 h 85725"/>
              <a:gd name="connsiteX11" fmla="*/ 61371 w 66675"/>
              <a:gd name="connsiteY11" fmla="*/ 21929 h 85725"/>
              <a:gd name="connsiteX12" fmla="*/ 61371 w 66675"/>
              <a:gd name="connsiteY12" fmla="*/ 7384 h 85725"/>
              <a:gd name="connsiteX13" fmla="*/ 60666 w 66675"/>
              <a:gd name="connsiteY13" fmla="*/ 6822 h 85725"/>
              <a:gd name="connsiteX14" fmla="*/ 58066 w 66675"/>
              <a:gd name="connsiteY14" fmla="*/ 5041 h 85725"/>
              <a:gd name="connsiteX15" fmla="*/ 52580 w 66675"/>
              <a:gd name="connsiteY15" fmla="*/ 2498 h 85725"/>
              <a:gd name="connsiteX16" fmla="*/ 45969 w 66675"/>
              <a:gd name="connsiteY16" fmla="*/ 707 h 85725"/>
              <a:gd name="connsiteX17" fmla="*/ 38587 w 66675"/>
              <a:gd name="connsiteY17" fmla="*/ 3 h 85725"/>
              <a:gd name="connsiteX18" fmla="*/ 22890 w 66675"/>
              <a:gd name="connsiteY18" fmla="*/ 3127 h 85725"/>
              <a:gd name="connsiteX19" fmla="*/ 10679 w 66675"/>
              <a:gd name="connsiteY19" fmla="*/ 12223 h 85725"/>
              <a:gd name="connsiteX20" fmla="*/ 2792 w 66675"/>
              <a:gd name="connsiteY20" fmla="*/ 26654 h 85725"/>
              <a:gd name="connsiteX21" fmla="*/ 2573 w 66675"/>
              <a:gd name="connsiteY21" fmla="*/ 64468 h 85725"/>
              <a:gd name="connsiteX22" fmla="*/ 10050 w 66675"/>
              <a:gd name="connsiteY22" fmla="*/ 78193 h 85725"/>
              <a:gd name="connsiteX23" fmla="*/ 21861 w 66675"/>
              <a:gd name="connsiteY23" fmla="*/ 86661 h 85725"/>
              <a:gd name="connsiteX24" fmla="*/ 37263 w 66675"/>
              <a:gd name="connsiteY24" fmla="*/ 89518 h 85725"/>
              <a:gd name="connsiteX25" fmla="*/ 46350 w 66675"/>
              <a:gd name="connsiteY25" fmla="*/ 88614 h 85725"/>
              <a:gd name="connsiteX26" fmla="*/ 53656 w 66675"/>
              <a:gd name="connsiteY26" fmla="*/ 86394 h 85725"/>
              <a:gd name="connsiteX27" fmla="*/ 68658 w 66675"/>
              <a:gd name="connsiteY27" fmla="*/ 77355 h 85725"/>
              <a:gd name="connsiteX28" fmla="*/ 69363 w 66675"/>
              <a:gd name="connsiteY28" fmla="*/ 76784 h 85725"/>
              <a:gd name="connsiteX29" fmla="*/ 69363 w 66675"/>
              <a:gd name="connsiteY29" fmla="*/ 40589 h 85725"/>
              <a:gd name="connsiteX30" fmla="*/ 36530 w 66675"/>
              <a:gd name="connsiteY30" fmla="*/ 40589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66675" h="85725">
                <a:moveTo>
                  <a:pt x="36530" y="52752"/>
                </a:moveTo>
                <a:lnTo>
                  <a:pt x="55085" y="52752"/>
                </a:lnTo>
                <a:cubicBezTo>
                  <a:pt x="55085" y="58362"/>
                  <a:pt x="55085" y="64582"/>
                  <a:pt x="55085" y="69011"/>
                </a:cubicBezTo>
                <a:cubicBezTo>
                  <a:pt x="50509" y="73287"/>
                  <a:pt x="44418" y="75563"/>
                  <a:pt x="38159" y="75336"/>
                </a:cubicBezTo>
                <a:cubicBezTo>
                  <a:pt x="31072" y="75336"/>
                  <a:pt x="14584" y="72402"/>
                  <a:pt x="14461" y="45199"/>
                </a:cubicBezTo>
                <a:cubicBezTo>
                  <a:pt x="14382" y="40437"/>
                  <a:pt x="14976" y="35688"/>
                  <a:pt x="16223" y="31092"/>
                </a:cubicBezTo>
                <a:cubicBezTo>
                  <a:pt x="17220" y="27382"/>
                  <a:pt x="18882" y="23884"/>
                  <a:pt x="21128" y="20767"/>
                </a:cubicBezTo>
                <a:cubicBezTo>
                  <a:pt x="23091" y="18111"/>
                  <a:pt x="25657" y="15960"/>
                  <a:pt x="28615" y="14490"/>
                </a:cubicBezTo>
                <a:cubicBezTo>
                  <a:pt x="31670" y="13043"/>
                  <a:pt x="35016" y="12314"/>
                  <a:pt x="38397" y="12356"/>
                </a:cubicBezTo>
                <a:cubicBezTo>
                  <a:pt x="41282" y="12296"/>
                  <a:pt x="44158" y="12705"/>
                  <a:pt x="46912" y="13566"/>
                </a:cubicBezTo>
                <a:cubicBezTo>
                  <a:pt x="49033" y="14267"/>
                  <a:pt x="51079" y="15180"/>
                  <a:pt x="53018" y="16290"/>
                </a:cubicBezTo>
                <a:cubicBezTo>
                  <a:pt x="54704" y="17243"/>
                  <a:pt x="61371" y="21929"/>
                  <a:pt x="61371" y="21929"/>
                </a:cubicBezTo>
                <a:lnTo>
                  <a:pt x="61371" y="7384"/>
                </a:lnTo>
                <a:lnTo>
                  <a:pt x="60666" y="6822"/>
                </a:lnTo>
                <a:cubicBezTo>
                  <a:pt x="59843" y="6167"/>
                  <a:pt x="58975" y="5572"/>
                  <a:pt x="58066" y="5041"/>
                </a:cubicBezTo>
                <a:cubicBezTo>
                  <a:pt x="56326" y="4014"/>
                  <a:pt x="54488" y="3162"/>
                  <a:pt x="52580" y="2498"/>
                </a:cubicBezTo>
                <a:cubicBezTo>
                  <a:pt x="50423" y="1741"/>
                  <a:pt x="48213" y="1143"/>
                  <a:pt x="45969" y="707"/>
                </a:cubicBezTo>
                <a:cubicBezTo>
                  <a:pt x="43538" y="232"/>
                  <a:pt x="41065" y="-3"/>
                  <a:pt x="38587" y="3"/>
                </a:cubicBezTo>
                <a:cubicBezTo>
                  <a:pt x="33194" y="-59"/>
                  <a:pt x="27848" y="1005"/>
                  <a:pt x="22890" y="3127"/>
                </a:cubicBezTo>
                <a:cubicBezTo>
                  <a:pt x="18185" y="5198"/>
                  <a:pt x="14010" y="8308"/>
                  <a:pt x="10679" y="12223"/>
                </a:cubicBezTo>
                <a:cubicBezTo>
                  <a:pt x="7129" y="16469"/>
                  <a:pt x="4449" y="21373"/>
                  <a:pt x="2792" y="26654"/>
                </a:cubicBezTo>
                <a:cubicBezTo>
                  <a:pt x="-855" y="38984"/>
                  <a:pt x="-931" y="52096"/>
                  <a:pt x="2573" y="64468"/>
                </a:cubicBezTo>
                <a:cubicBezTo>
                  <a:pt x="4101" y="69506"/>
                  <a:pt x="6646" y="74178"/>
                  <a:pt x="10050" y="78193"/>
                </a:cubicBezTo>
                <a:cubicBezTo>
                  <a:pt x="13276" y="81896"/>
                  <a:pt x="17320" y="84795"/>
                  <a:pt x="21861" y="86661"/>
                </a:cubicBezTo>
                <a:cubicBezTo>
                  <a:pt x="26758" y="88616"/>
                  <a:pt x="31991" y="89586"/>
                  <a:pt x="37263" y="89518"/>
                </a:cubicBezTo>
                <a:cubicBezTo>
                  <a:pt x="40316" y="89541"/>
                  <a:pt x="43362" y="89238"/>
                  <a:pt x="46350" y="88614"/>
                </a:cubicBezTo>
                <a:cubicBezTo>
                  <a:pt x="48836" y="88052"/>
                  <a:pt x="51278" y="87310"/>
                  <a:pt x="53656" y="86394"/>
                </a:cubicBezTo>
                <a:cubicBezTo>
                  <a:pt x="59029" y="84046"/>
                  <a:pt x="64072" y="81008"/>
                  <a:pt x="68658" y="77355"/>
                </a:cubicBezTo>
                <a:lnTo>
                  <a:pt x="69363" y="76784"/>
                </a:lnTo>
                <a:lnTo>
                  <a:pt x="69363" y="40589"/>
                </a:lnTo>
                <a:lnTo>
                  <a:pt x="36530" y="40589"/>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2" name="Figura a mano libera: forma 11">
            <a:extLst>
              <a:ext uri="{FF2B5EF4-FFF2-40B4-BE49-F238E27FC236}">
                <a16:creationId xmlns:a16="http://schemas.microsoft.com/office/drawing/2014/main" id="{00000000-0008-0000-0000-00000C000000}"/>
              </a:ext>
            </a:extLst>
          </xdr:cNvPr>
          <xdr:cNvSpPr/>
        </xdr:nvSpPr>
        <xdr:spPr>
          <a:xfrm>
            <a:off x="-581019" y="4211804"/>
            <a:ext cx="38100" cy="57150"/>
          </a:xfrm>
          <a:custGeom>
            <a:avLst/>
            <a:gdLst>
              <a:gd name="connsiteX0" fmla="*/ 37862 w 38100"/>
              <a:gd name="connsiteY0" fmla="*/ 8708 h 57150"/>
              <a:gd name="connsiteX1" fmla="*/ 34271 w 38100"/>
              <a:gd name="connsiteY1" fmla="*/ 4898 h 57150"/>
              <a:gd name="connsiteX2" fmla="*/ 29594 w 38100"/>
              <a:gd name="connsiteY2" fmla="*/ 2164 h 57150"/>
              <a:gd name="connsiteX3" fmla="*/ 24098 w 38100"/>
              <a:gd name="connsiteY3" fmla="*/ 535 h 57150"/>
              <a:gd name="connsiteX4" fmla="*/ 17497 w 38100"/>
              <a:gd name="connsiteY4" fmla="*/ 2 h 57150"/>
              <a:gd name="connsiteX5" fmla="*/ 0 w 38100"/>
              <a:gd name="connsiteY5" fmla="*/ 2 h 57150"/>
              <a:gd name="connsiteX6" fmla="*/ 0 w 38100"/>
              <a:gd name="connsiteY6" fmla="*/ 66239 h 57150"/>
              <a:gd name="connsiteX7" fmla="*/ 10592 w 38100"/>
              <a:gd name="connsiteY7" fmla="*/ 66239 h 57150"/>
              <a:gd name="connsiteX8" fmla="*/ 10592 w 38100"/>
              <a:gd name="connsiteY8" fmla="*/ 38778 h 57150"/>
              <a:gd name="connsiteX9" fmla="*/ 16840 w 38100"/>
              <a:gd name="connsiteY9" fmla="*/ 38778 h 57150"/>
              <a:gd name="connsiteX10" fmla="*/ 32766 w 38100"/>
              <a:gd name="connsiteY10" fmla="*/ 34654 h 57150"/>
              <a:gd name="connsiteX11" fmla="*/ 37014 w 38100"/>
              <a:gd name="connsiteY11" fmla="*/ 31073 h 57150"/>
              <a:gd name="connsiteX12" fmla="*/ 39938 w 38100"/>
              <a:gd name="connsiteY12" fmla="*/ 25948 h 57150"/>
              <a:gd name="connsiteX13" fmla="*/ 41005 w 38100"/>
              <a:gd name="connsiteY13" fmla="*/ 19538 h 57150"/>
              <a:gd name="connsiteX14" fmla="*/ 40186 w 38100"/>
              <a:gd name="connsiteY14" fmla="*/ 13623 h 57150"/>
              <a:gd name="connsiteX15" fmla="*/ 37862 w 38100"/>
              <a:gd name="connsiteY15" fmla="*/ 8708 h 57150"/>
              <a:gd name="connsiteX16" fmla="*/ 29623 w 38100"/>
              <a:gd name="connsiteY16" fmla="*/ 23519 h 57150"/>
              <a:gd name="connsiteX17" fmla="*/ 27365 w 38100"/>
              <a:gd name="connsiteY17" fmla="*/ 26624 h 57150"/>
              <a:gd name="connsiteX18" fmla="*/ 23555 w 38100"/>
              <a:gd name="connsiteY18" fmla="*/ 28577 h 57150"/>
              <a:gd name="connsiteX19" fmla="*/ 17355 w 38100"/>
              <a:gd name="connsiteY19" fmla="*/ 29282 h 57150"/>
              <a:gd name="connsiteX20" fmla="*/ 10620 w 38100"/>
              <a:gd name="connsiteY20" fmla="*/ 29282 h 57150"/>
              <a:gd name="connsiteX21" fmla="*/ 10620 w 38100"/>
              <a:gd name="connsiteY21" fmla="*/ 9717 h 57150"/>
              <a:gd name="connsiteX22" fmla="*/ 19507 w 38100"/>
              <a:gd name="connsiteY22" fmla="*/ 9717 h 57150"/>
              <a:gd name="connsiteX23" fmla="*/ 24136 w 38100"/>
              <a:gd name="connsiteY23" fmla="*/ 10346 h 57150"/>
              <a:gd name="connsiteX24" fmla="*/ 27461 w 38100"/>
              <a:gd name="connsiteY24" fmla="*/ 12118 h 57150"/>
              <a:gd name="connsiteX25" fmla="*/ 29651 w 38100"/>
              <a:gd name="connsiteY25" fmla="*/ 14975 h 57150"/>
              <a:gd name="connsiteX26" fmla="*/ 30451 w 38100"/>
              <a:gd name="connsiteY26" fmla="*/ 19052 h 57150"/>
              <a:gd name="connsiteX27" fmla="*/ 29623 w 38100"/>
              <a:gd name="connsiteY27" fmla="*/ 23519 h 57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38100" h="57150">
                <a:moveTo>
                  <a:pt x="37862" y="8708"/>
                </a:moveTo>
                <a:cubicBezTo>
                  <a:pt x="36867" y="7262"/>
                  <a:pt x="35655" y="5977"/>
                  <a:pt x="34271" y="4898"/>
                </a:cubicBezTo>
                <a:cubicBezTo>
                  <a:pt x="32836" y="3790"/>
                  <a:pt x="31264" y="2871"/>
                  <a:pt x="29594" y="2164"/>
                </a:cubicBezTo>
                <a:cubicBezTo>
                  <a:pt x="27827" y="1422"/>
                  <a:pt x="25984" y="876"/>
                  <a:pt x="24098" y="535"/>
                </a:cubicBezTo>
                <a:cubicBezTo>
                  <a:pt x="21919" y="157"/>
                  <a:pt x="19709" y="-21"/>
                  <a:pt x="17497" y="2"/>
                </a:cubicBezTo>
                <a:lnTo>
                  <a:pt x="0" y="2"/>
                </a:lnTo>
                <a:lnTo>
                  <a:pt x="0" y="66239"/>
                </a:lnTo>
                <a:lnTo>
                  <a:pt x="10592" y="66239"/>
                </a:lnTo>
                <a:lnTo>
                  <a:pt x="10592" y="38778"/>
                </a:lnTo>
                <a:lnTo>
                  <a:pt x="16840" y="38778"/>
                </a:lnTo>
                <a:cubicBezTo>
                  <a:pt x="22424" y="38870"/>
                  <a:pt x="27928" y="37445"/>
                  <a:pt x="32766" y="34654"/>
                </a:cubicBezTo>
                <a:cubicBezTo>
                  <a:pt x="34353" y="33679"/>
                  <a:pt x="35784" y="32472"/>
                  <a:pt x="37014" y="31073"/>
                </a:cubicBezTo>
                <a:cubicBezTo>
                  <a:pt x="38284" y="29550"/>
                  <a:pt x="39273" y="27815"/>
                  <a:pt x="39938" y="25948"/>
                </a:cubicBezTo>
                <a:cubicBezTo>
                  <a:pt x="40664" y="23890"/>
                  <a:pt x="41026" y="21720"/>
                  <a:pt x="41005" y="19538"/>
                </a:cubicBezTo>
                <a:cubicBezTo>
                  <a:pt x="41020" y="17537"/>
                  <a:pt x="40745" y="15544"/>
                  <a:pt x="40186" y="13623"/>
                </a:cubicBezTo>
                <a:cubicBezTo>
                  <a:pt x="39676" y="11872"/>
                  <a:pt x="38892" y="10213"/>
                  <a:pt x="37862" y="8708"/>
                </a:cubicBezTo>
                <a:close/>
                <a:moveTo>
                  <a:pt x="29623" y="23519"/>
                </a:moveTo>
                <a:cubicBezTo>
                  <a:pt x="29127" y="24718"/>
                  <a:pt x="28353" y="25783"/>
                  <a:pt x="27365" y="26624"/>
                </a:cubicBezTo>
                <a:cubicBezTo>
                  <a:pt x="26241" y="27527"/>
                  <a:pt x="24945" y="28191"/>
                  <a:pt x="23555" y="28577"/>
                </a:cubicBezTo>
                <a:cubicBezTo>
                  <a:pt x="21529" y="29088"/>
                  <a:pt x="19443" y="29326"/>
                  <a:pt x="17355" y="29282"/>
                </a:cubicBezTo>
                <a:lnTo>
                  <a:pt x="10620" y="29282"/>
                </a:lnTo>
                <a:lnTo>
                  <a:pt x="10620" y="9717"/>
                </a:lnTo>
                <a:lnTo>
                  <a:pt x="19507" y="9717"/>
                </a:lnTo>
                <a:cubicBezTo>
                  <a:pt x="21073" y="9686"/>
                  <a:pt x="22635" y="9898"/>
                  <a:pt x="24136" y="10346"/>
                </a:cubicBezTo>
                <a:cubicBezTo>
                  <a:pt x="25348" y="10718"/>
                  <a:pt x="26477" y="11319"/>
                  <a:pt x="27461" y="12118"/>
                </a:cubicBezTo>
                <a:cubicBezTo>
                  <a:pt x="28396" y="12893"/>
                  <a:pt x="29146" y="13870"/>
                  <a:pt x="29651" y="14975"/>
                </a:cubicBezTo>
                <a:cubicBezTo>
                  <a:pt x="30206" y="16261"/>
                  <a:pt x="30478" y="17652"/>
                  <a:pt x="30451" y="19052"/>
                </a:cubicBezTo>
                <a:cubicBezTo>
                  <a:pt x="30472" y="20581"/>
                  <a:pt x="30190" y="22099"/>
                  <a:pt x="29623" y="23519"/>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3" name="Figura a mano libera: forma 12">
            <a:extLst>
              <a:ext uri="{FF2B5EF4-FFF2-40B4-BE49-F238E27FC236}">
                <a16:creationId xmlns:a16="http://schemas.microsoft.com/office/drawing/2014/main" id="{00000000-0008-0000-0000-00000D000000}"/>
              </a:ext>
            </a:extLst>
          </xdr:cNvPr>
          <xdr:cNvSpPr/>
        </xdr:nvSpPr>
        <xdr:spPr>
          <a:xfrm>
            <a:off x="-530346" y="4211740"/>
            <a:ext cx="47625" cy="57150"/>
          </a:xfrm>
          <a:custGeom>
            <a:avLst/>
            <a:gdLst>
              <a:gd name="connsiteX0" fmla="*/ 0 w 47625"/>
              <a:gd name="connsiteY0" fmla="*/ 33118 h 57150"/>
              <a:gd name="connsiteX1" fmla="*/ 25994 w 47625"/>
              <a:gd name="connsiteY1" fmla="*/ 66237 h 57150"/>
              <a:gd name="connsiteX2" fmla="*/ 25994 w 47625"/>
              <a:gd name="connsiteY2" fmla="*/ 66237 h 57150"/>
              <a:gd name="connsiteX3" fmla="*/ 51987 w 47625"/>
              <a:gd name="connsiteY3" fmla="*/ 33118 h 57150"/>
              <a:gd name="connsiteX4" fmla="*/ 25975 w 47625"/>
              <a:gd name="connsiteY4" fmla="*/ 0 h 57150"/>
              <a:gd name="connsiteX5" fmla="*/ 0 w 47625"/>
              <a:gd name="connsiteY5" fmla="*/ 33118 h 57150"/>
              <a:gd name="connsiteX6" fmla="*/ 42015 w 47625"/>
              <a:gd name="connsiteY6" fmla="*/ 33118 h 57150"/>
              <a:gd name="connsiteX7" fmla="*/ 25994 w 47625"/>
              <a:gd name="connsiteY7" fmla="*/ 56826 h 57150"/>
              <a:gd name="connsiteX8" fmla="*/ 9992 w 47625"/>
              <a:gd name="connsiteY8" fmla="*/ 33118 h 57150"/>
              <a:gd name="connsiteX9" fmla="*/ 26013 w 47625"/>
              <a:gd name="connsiteY9" fmla="*/ 9420 h 57150"/>
              <a:gd name="connsiteX10" fmla="*/ 42015 w 47625"/>
              <a:gd name="connsiteY10" fmla="*/ 33118 h 57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47625" h="57150">
                <a:moveTo>
                  <a:pt x="0" y="33118"/>
                </a:moveTo>
                <a:cubicBezTo>
                  <a:pt x="0" y="54788"/>
                  <a:pt x="8992" y="66237"/>
                  <a:pt x="25994" y="66237"/>
                </a:cubicBezTo>
                <a:lnTo>
                  <a:pt x="25994" y="66237"/>
                </a:lnTo>
                <a:cubicBezTo>
                  <a:pt x="42996" y="66237"/>
                  <a:pt x="51987" y="54807"/>
                  <a:pt x="51987" y="33118"/>
                </a:cubicBezTo>
                <a:cubicBezTo>
                  <a:pt x="51987" y="11430"/>
                  <a:pt x="42986" y="0"/>
                  <a:pt x="25975" y="0"/>
                </a:cubicBezTo>
                <a:cubicBezTo>
                  <a:pt x="8963" y="0"/>
                  <a:pt x="0" y="11459"/>
                  <a:pt x="0" y="33118"/>
                </a:cubicBezTo>
                <a:close/>
                <a:moveTo>
                  <a:pt x="42015" y="33118"/>
                </a:moveTo>
                <a:cubicBezTo>
                  <a:pt x="42015" y="43929"/>
                  <a:pt x="39234" y="56826"/>
                  <a:pt x="25994" y="56826"/>
                </a:cubicBezTo>
                <a:cubicBezTo>
                  <a:pt x="12754" y="56826"/>
                  <a:pt x="9992" y="43929"/>
                  <a:pt x="9992" y="33118"/>
                </a:cubicBezTo>
                <a:cubicBezTo>
                  <a:pt x="9992" y="22308"/>
                  <a:pt x="12773" y="9420"/>
                  <a:pt x="26013" y="9420"/>
                </a:cubicBezTo>
                <a:cubicBezTo>
                  <a:pt x="39253" y="9420"/>
                  <a:pt x="42015" y="22308"/>
                  <a:pt x="42015" y="33118"/>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4" name="Figura a mano libera: forma 13">
            <a:extLst>
              <a:ext uri="{FF2B5EF4-FFF2-40B4-BE49-F238E27FC236}">
                <a16:creationId xmlns:a16="http://schemas.microsoft.com/office/drawing/2014/main" id="{00000000-0008-0000-0000-00000E000000}"/>
              </a:ext>
            </a:extLst>
          </xdr:cNvPr>
          <xdr:cNvSpPr/>
        </xdr:nvSpPr>
        <xdr:spPr>
          <a:xfrm>
            <a:off x="-473291" y="4211740"/>
            <a:ext cx="85725" cy="57150"/>
          </a:xfrm>
          <a:custGeom>
            <a:avLst/>
            <a:gdLst>
              <a:gd name="connsiteX0" fmla="*/ 59655 w 85725"/>
              <a:gd name="connsiteY0" fmla="*/ 48501 h 57150"/>
              <a:gd name="connsiteX1" fmla="*/ 48320 w 85725"/>
              <a:gd name="connsiteY1" fmla="*/ 0 h 57150"/>
              <a:gd name="connsiteX2" fmla="*/ 38291 w 85725"/>
              <a:gd name="connsiteY2" fmla="*/ 0 h 57150"/>
              <a:gd name="connsiteX3" fmla="*/ 26965 w 85725"/>
              <a:gd name="connsiteY3" fmla="*/ 48501 h 57150"/>
              <a:gd name="connsiteX4" fmla="*/ 10744 w 85725"/>
              <a:gd name="connsiteY4" fmla="*/ 0 h 57150"/>
              <a:gd name="connsiteX5" fmla="*/ 0 w 85725"/>
              <a:gd name="connsiteY5" fmla="*/ 0 h 57150"/>
              <a:gd name="connsiteX6" fmla="*/ 22155 w 85725"/>
              <a:gd name="connsiteY6" fmla="*/ 66237 h 57150"/>
              <a:gd name="connsiteX7" fmla="*/ 32347 w 85725"/>
              <a:gd name="connsiteY7" fmla="*/ 66237 h 57150"/>
              <a:gd name="connsiteX8" fmla="*/ 43310 w 85725"/>
              <a:gd name="connsiteY8" fmla="*/ 22593 h 57150"/>
              <a:gd name="connsiteX9" fmla="*/ 54283 w 85725"/>
              <a:gd name="connsiteY9" fmla="*/ 66237 h 57150"/>
              <a:gd name="connsiteX10" fmla="*/ 64456 w 85725"/>
              <a:gd name="connsiteY10" fmla="*/ 66237 h 57150"/>
              <a:gd name="connsiteX11" fmla="*/ 86611 w 85725"/>
              <a:gd name="connsiteY11" fmla="*/ 0 h 57150"/>
              <a:gd name="connsiteX12" fmla="*/ 75876 w 85725"/>
              <a:gd name="connsiteY12" fmla="*/ 0 h 57150"/>
              <a:gd name="connsiteX13" fmla="*/ 59655 w 85725"/>
              <a:gd name="connsiteY13" fmla="*/ 48501 h 57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725" h="57150">
                <a:moveTo>
                  <a:pt x="59655" y="48501"/>
                </a:moveTo>
                <a:lnTo>
                  <a:pt x="48320" y="0"/>
                </a:lnTo>
                <a:lnTo>
                  <a:pt x="38291" y="0"/>
                </a:lnTo>
                <a:lnTo>
                  <a:pt x="26965" y="48501"/>
                </a:lnTo>
                <a:lnTo>
                  <a:pt x="10744" y="0"/>
                </a:lnTo>
                <a:lnTo>
                  <a:pt x="0" y="0"/>
                </a:lnTo>
                <a:lnTo>
                  <a:pt x="22155" y="66237"/>
                </a:lnTo>
                <a:lnTo>
                  <a:pt x="32347" y="66237"/>
                </a:lnTo>
                <a:lnTo>
                  <a:pt x="43310" y="22593"/>
                </a:lnTo>
                <a:lnTo>
                  <a:pt x="54283" y="66237"/>
                </a:lnTo>
                <a:lnTo>
                  <a:pt x="64456" y="66237"/>
                </a:lnTo>
                <a:lnTo>
                  <a:pt x="86611" y="0"/>
                </a:lnTo>
                <a:lnTo>
                  <a:pt x="75876" y="0"/>
                </a:lnTo>
                <a:lnTo>
                  <a:pt x="59655" y="48501"/>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5" name="Figura a mano libera: forma 14">
            <a:extLst>
              <a:ext uri="{FF2B5EF4-FFF2-40B4-BE49-F238E27FC236}">
                <a16:creationId xmlns:a16="http://schemas.microsoft.com/office/drawing/2014/main" id="{00000000-0008-0000-0000-00000F000000}"/>
              </a:ext>
            </a:extLst>
          </xdr:cNvPr>
          <xdr:cNvSpPr/>
        </xdr:nvSpPr>
        <xdr:spPr>
          <a:xfrm>
            <a:off x="-378422" y="4211740"/>
            <a:ext cx="28575" cy="57150"/>
          </a:xfrm>
          <a:custGeom>
            <a:avLst/>
            <a:gdLst>
              <a:gd name="connsiteX0" fmla="*/ 36824 w 28575"/>
              <a:gd name="connsiteY0" fmla="*/ 9030 h 57150"/>
              <a:gd name="connsiteX1" fmla="*/ 36824 w 28575"/>
              <a:gd name="connsiteY1" fmla="*/ 0 h 57150"/>
              <a:gd name="connsiteX2" fmla="*/ 0 w 28575"/>
              <a:gd name="connsiteY2" fmla="*/ 0 h 57150"/>
              <a:gd name="connsiteX3" fmla="*/ 0 w 28575"/>
              <a:gd name="connsiteY3" fmla="*/ 66237 h 57150"/>
              <a:gd name="connsiteX4" fmla="*/ 36824 w 28575"/>
              <a:gd name="connsiteY4" fmla="*/ 66237 h 57150"/>
              <a:gd name="connsiteX5" fmla="*/ 36824 w 28575"/>
              <a:gd name="connsiteY5" fmla="*/ 57217 h 57150"/>
              <a:gd name="connsiteX6" fmla="*/ 10592 w 28575"/>
              <a:gd name="connsiteY6" fmla="*/ 57217 h 57150"/>
              <a:gd name="connsiteX7" fmla="*/ 10592 w 28575"/>
              <a:gd name="connsiteY7" fmla="*/ 35919 h 57150"/>
              <a:gd name="connsiteX8" fmla="*/ 32566 w 28575"/>
              <a:gd name="connsiteY8" fmla="*/ 35919 h 57150"/>
              <a:gd name="connsiteX9" fmla="*/ 32566 w 28575"/>
              <a:gd name="connsiteY9" fmla="*/ 26899 h 57150"/>
              <a:gd name="connsiteX10" fmla="*/ 10592 w 28575"/>
              <a:gd name="connsiteY10" fmla="*/ 26899 h 57150"/>
              <a:gd name="connsiteX11" fmla="*/ 10592 w 28575"/>
              <a:gd name="connsiteY11" fmla="*/ 9030 h 57150"/>
              <a:gd name="connsiteX12" fmla="*/ 36824 w 28575"/>
              <a:gd name="connsiteY12" fmla="*/ 9030 h 57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28575" h="57150">
                <a:moveTo>
                  <a:pt x="36824" y="9030"/>
                </a:moveTo>
                <a:lnTo>
                  <a:pt x="36824" y="0"/>
                </a:lnTo>
                <a:lnTo>
                  <a:pt x="0" y="0"/>
                </a:lnTo>
                <a:lnTo>
                  <a:pt x="0" y="66237"/>
                </a:lnTo>
                <a:lnTo>
                  <a:pt x="36824" y="66237"/>
                </a:lnTo>
                <a:lnTo>
                  <a:pt x="36824" y="57217"/>
                </a:lnTo>
                <a:lnTo>
                  <a:pt x="10592" y="57217"/>
                </a:lnTo>
                <a:lnTo>
                  <a:pt x="10592" y="35919"/>
                </a:lnTo>
                <a:lnTo>
                  <a:pt x="32566" y="35919"/>
                </a:lnTo>
                <a:lnTo>
                  <a:pt x="32566" y="26899"/>
                </a:lnTo>
                <a:lnTo>
                  <a:pt x="10592" y="26899"/>
                </a:lnTo>
                <a:lnTo>
                  <a:pt x="10592" y="9030"/>
                </a:lnTo>
                <a:lnTo>
                  <a:pt x="36824" y="9030"/>
                </a:ln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6" name="Figura a mano libera: forma 15">
            <a:extLst>
              <a:ext uri="{FF2B5EF4-FFF2-40B4-BE49-F238E27FC236}">
                <a16:creationId xmlns:a16="http://schemas.microsoft.com/office/drawing/2014/main" id="{00000000-0008-0000-0000-000010000000}"/>
              </a:ext>
            </a:extLst>
          </xdr:cNvPr>
          <xdr:cNvSpPr/>
        </xdr:nvSpPr>
        <xdr:spPr>
          <a:xfrm>
            <a:off x="-330130" y="4211796"/>
            <a:ext cx="38100" cy="57150"/>
          </a:xfrm>
          <a:custGeom>
            <a:avLst/>
            <a:gdLst>
              <a:gd name="connsiteX0" fmla="*/ 34681 w 38100"/>
              <a:gd name="connsiteY0" fmla="*/ 39997 h 57150"/>
              <a:gd name="connsiteX1" fmla="*/ 31718 w 38100"/>
              <a:gd name="connsiteY1" fmla="*/ 36491 h 57150"/>
              <a:gd name="connsiteX2" fmla="*/ 30709 w 38100"/>
              <a:gd name="connsiteY2" fmla="*/ 35691 h 57150"/>
              <a:gd name="connsiteX3" fmla="*/ 32699 w 38100"/>
              <a:gd name="connsiteY3" fmla="*/ 34739 h 57150"/>
              <a:gd name="connsiteX4" fmla="*/ 37014 w 38100"/>
              <a:gd name="connsiteY4" fmla="*/ 31119 h 57150"/>
              <a:gd name="connsiteX5" fmla="*/ 39929 w 38100"/>
              <a:gd name="connsiteY5" fmla="*/ 25995 h 57150"/>
              <a:gd name="connsiteX6" fmla="*/ 40996 w 38100"/>
              <a:gd name="connsiteY6" fmla="*/ 19585 h 57150"/>
              <a:gd name="connsiteX7" fmla="*/ 40176 w 38100"/>
              <a:gd name="connsiteY7" fmla="*/ 13670 h 57150"/>
              <a:gd name="connsiteX8" fmla="*/ 34271 w 38100"/>
              <a:gd name="connsiteY8" fmla="*/ 4906 h 57150"/>
              <a:gd name="connsiteX9" fmla="*/ 29585 w 38100"/>
              <a:gd name="connsiteY9" fmla="*/ 2173 h 57150"/>
              <a:gd name="connsiteX10" fmla="*/ 24098 w 38100"/>
              <a:gd name="connsiteY10" fmla="*/ 535 h 57150"/>
              <a:gd name="connsiteX11" fmla="*/ 17488 w 38100"/>
              <a:gd name="connsiteY11" fmla="*/ 1 h 57150"/>
              <a:gd name="connsiteX12" fmla="*/ 0 w 38100"/>
              <a:gd name="connsiteY12" fmla="*/ 1 h 57150"/>
              <a:gd name="connsiteX13" fmla="*/ 0 w 38100"/>
              <a:gd name="connsiteY13" fmla="*/ 66228 h 57150"/>
              <a:gd name="connsiteX14" fmla="*/ 10592 w 38100"/>
              <a:gd name="connsiteY14" fmla="*/ 66228 h 57150"/>
              <a:gd name="connsiteX15" fmla="*/ 10592 w 38100"/>
              <a:gd name="connsiteY15" fmla="*/ 38796 h 57150"/>
              <a:gd name="connsiteX16" fmla="*/ 15773 w 38100"/>
              <a:gd name="connsiteY16" fmla="*/ 38796 h 57150"/>
              <a:gd name="connsiteX17" fmla="*/ 20536 w 38100"/>
              <a:gd name="connsiteY17" fmla="*/ 39539 h 57150"/>
              <a:gd name="connsiteX18" fmla="*/ 23393 w 38100"/>
              <a:gd name="connsiteY18" fmla="*/ 41444 h 57150"/>
              <a:gd name="connsiteX19" fmla="*/ 32995 w 38100"/>
              <a:gd name="connsiteY19" fmla="*/ 65171 h 57150"/>
              <a:gd name="connsiteX20" fmla="*/ 33309 w 38100"/>
              <a:gd name="connsiteY20" fmla="*/ 66124 h 57150"/>
              <a:gd name="connsiteX21" fmla="*/ 42120 w 38100"/>
              <a:gd name="connsiteY21" fmla="*/ 66124 h 57150"/>
              <a:gd name="connsiteX22" fmla="*/ 43939 w 38100"/>
              <a:gd name="connsiteY22" fmla="*/ 66124 h 57150"/>
              <a:gd name="connsiteX23" fmla="*/ 43463 w 38100"/>
              <a:gd name="connsiteY23" fmla="*/ 64362 h 57150"/>
              <a:gd name="connsiteX24" fmla="*/ 34681 w 38100"/>
              <a:gd name="connsiteY24" fmla="*/ 39997 h 57150"/>
              <a:gd name="connsiteX25" fmla="*/ 29623 w 38100"/>
              <a:gd name="connsiteY25" fmla="*/ 23518 h 57150"/>
              <a:gd name="connsiteX26" fmla="*/ 27356 w 38100"/>
              <a:gd name="connsiteY26" fmla="*/ 26633 h 57150"/>
              <a:gd name="connsiteX27" fmla="*/ 23546 w 38100"/>
              <a:gd name="connsiteY27" fmla="*/ 28586 h 57150"/>
              <a:gd name="connsiteX28" fmla="*/ 17355 w 38100"/>
              <a:gd name="connsiteY28" fmla="*/ 29291 h 57150"/>
              <a:gd name="connsiteX29" fmla="*/ 10582 w 38100"/>
              <a:gd name="connsiteY29" fmla="*/ 29291 h 57150"/>
              <a:gd name="connsiteX30" fmla="*/ 10582 w 38100"/>
              <a:gd name="connsiteY30" fmla="*/ 9726 h 57150"/>
              <a:gd name="connsiteX31" fmla="*/ 19469 w 38100"/>
              <a:gd name="connsiteY31" fmla="*/ 9726 h 57150"/>
              <a:gd name="connsiteX32" fmla="*/ 24098 w 38100"/>
              <a:gd name="connsiteY32" fmla="*/ 10355 h 57150"/>
              <a:gd name="connsiteX33" fmla="*/ 27422 w 38100"/>
              <a:gd name="connsiteY33" fmla="*/ 12136 h 57150"/>
              <a:gd name="connsiteX34" fmla="*/ 29613 w 38100"/>
              <a:gd name="connsiteY34" fmla="*/ 14993 h 57150"/>
              <a:gd name="connsiteX35" fmla="*/ 30413 w 38100"/>
              <a:gd name="connsiteY35" fmla="*/ 19070 h 57150"/>
              <a:gd name="connsiteX36" fmla="*/ 29623 w 38100"/>
              <a:gd name="connsiteY36" fmla="*/ 23518 h 571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Lst>
            <a:rect l="l" t="t" r="r" b="b"/>
            <a:pathLst>
              <a:path w="38100" h="57150">
                <a:moveTo>
                  <a:pt x="34681" y="39997"/>
                </a:moveTo>
                <a:cubicBezTo>
                  <a:pt x="33914" y="38658"/>
                  <a:pt x="32910" y="37471"/>
                  <a:pt x="31718" y="36491"/>
                </a:cubicBezTo>
                <a:cubicBezTo>
                  <a:pt x="31394" y="36206"/>
                  <a:pt x="31061" y="35949"/>
                  <a:pt x="30709" y="35691"/>
                </a:cubicBezTo>
                <a:cubicBezTo>
                  <a:pt x="31391" y="35414"/>
                  <a:pt x="32055" y="35096"/>
                  <a:pt x="32699" y="34739"/>
                </a:cubicBezTo>
                <a:cubicBezTo>
                  <a:pt x="34341" y="33799"/>
                  <a:pt x="35803" y="32573"/>
                  <a:pt x="37014" y="31119"/>
                </a:cubicBezTo>
                <a:cubicBezTo>
                  <a:pt x="38280" y="29596"/>
                  <a:pt x="39267" y="27862"/>
                  <a:pt x="39929" y="25995"/>
                </a:cubicBezTo>
                <a:cubicBezTo>
                  <a:pt x="40656" y="23937"/>
                  <a:pt x="41017" y="21767"/>
                  <a:pt x="40996" y="19585"/>
                </a:cubicBezTo>
                <a:cubicBezTo>
                  <a:pt x="41011" y="17583"/>
                  <a:pt x="40736" y="15591"/>
                  <a:pt x="40176" y="13670"/>
                </a:cubicBezTo>
                <a:cubicBezTo>
                  <a:pt x="39172" y="10203"/>
                  <a:pt x="37107" y="7139"/>
                  <a:pt x="34271" y="4906"/>
                </a:cubicBezTo>
                <a:cubicBezTo>
                  <a:pt x="32836" y="3793"/>
                  <a:pt x="31260" y="2873"/>
                  <a:pt x="29585" y="2173"/>
                </a:cubicBezTo>
                <a:cubicBezTo>
                  <a:pt x="27821" y="1431"/>
                  <a:pt x="25980" y="881"/>
                  <a:pt x="24098" y="535"/>
                </a:cubicBezTo>
                <a:cubicBezTo>
                  <a:pt x="21915" y="162"/>
                  <a:pt x="19702" y="-16"/>
                  <a:pt x="17488" y="1"/>
                </a:cubicBezTo>
                <a:lnTo>
                  <a:pt x="0" y="1"/>
                </a:lnTo>
                <a:lnTo>
                  <a:pt x="0" y="66228"/>
                </a:lnTo>
                <a:lnTo>
                  <a:pt x="10592" y="66228"/>
                </a:lnTo>
                <a:lnTo>
                  <a:pt x="10592" y="38796"/>
                </a:lnTo>
                <a:lnTo>
                  <a:pt x="15773" y="38796"/>
                </a:lnTo>
                <a:cubicBezTo>
                  <a:pt x="17395" y="38730"/>
                  <a:pt x="19013" y="38982"/>
                  <a:pt x="20536" y="39539"/>
                </a:cubicBezTo>
                <a:cubicBezTo>
                  <a:pt x="21617" y="39957"/>
                  <a:pt x="22592" y="40607"/>
                  <a:pt x="23393" y="41444"/>
                </a:cubicBezTo>
                <a:cubicBezTo>
                  <a:pt x="27389" y="49007"/>
                  <a:pt x="30607" y="56958"/>
                  <a:pt x="32995" y="65171"/>
                </a:cubicBezTo>
                <a:lnTo>
                  <a:pt x="33309" y="66124"/>
                </a:lnTo>
                <a:lnTo>
                  <a:pt x="42120" y="66124"/>
                </a:lnTo>
                <a:lnTo>
                  <a:pt x="43939" y="66124"/>
                </a:lnTo>
                <a:lnTo>
                  <a:pt x="43463" y="64362"/>
                </a:lnTo>
                <a:cubicBezTo>
                  <a:pt x="41249" y="56001"/>
                  <a:pt x="38311" y="47848"/>
                  <a:pt x="34681" y="39997"/>
                </a:cubicBezTo>
                <a:close/>
                <a:moveTo>
                  <a:pt x="29623" y="23518"/>
                </a:moveTo>
                <a:cubicBezTo>
                  <a:pt x="29130" y="24725"/>
                  <a:pt x="28353" y="25794"/>
                  <a:pt x="27356" y="26633"/>
                </a:cubicBezTo>
                <a:cubicBezTo>
                  <a:pt x="26235" y="27541"/>
                  <a:pt x="24937" y="28206"/>
                  <a:pt x="23546" y="28586"/>
                </a:cubicBezTo>
                <a:cubicBezTo>
                  <a:pt x="21523" y="29096"/>
                  <a:pt x="19441" y="29333"/>
                  <a:pt x="17355" y="29291"/>
                </a:cubicBezTo>
                <a:lnTo>
                  <a:pt x="10582" y="29291"/>
                </a:lnTo>
                <a:lnTo>
                  <a:pt x="10582" y="9726"/>
                </a:lnTo>
                <a:lnTo>
                  <a:pt x="19469" y="9726"/>
                </a:lnTo>
                <a:cubicBezTo>
                  <a:pt x="21035" y="9694"/>
                  <a:pt x="22597" y="9906"/>
                  <a:pt x="24098" y="10355"/>
                </a:cubicBezTo>
                <a:cubicBezTo>
                  <a:pt x="25311" y="10728"/>
                  <a:pt x="26440" y="11333"/>
                  <a:pt x="27422" y="12136"/>
                </a:cubicBezTo>
                <a:cubicBezTo>
                  <a:pt x="28365" y="12905"/>
                  <a:pt x="29115" y="13884"/>
                  <a:pt x="29613" y="14993"/>
                </a:cubicBezTo>
                <a:cubicBezTo>
                  <a:pt x="30173" y="16278"/>
                  <a:pt x="30446" y="17669"/>
                  <a:pt x="30413" y="19070"/>
                </a:cubicBezTo>
                <a:cubicBezTo>
                  <a:pt x="30441" y="20590"/>
                  <a:pt x="30172" y="22101"/>
                  <a:pt x="29623" y="23518"/>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7" name="Figura a mano libera: forma 16">
            <a:extLst>
              <a:ext uri="{FF2B5EF4-FFF2-40B4-BE49-F238E27FC236}">
                <a16:creationId xmlns:a16="http://schemas.microsoft.com/office/drawing/2014/main" id="{00000000-0008-0000-0000-000011000000}"/>
              </a:ext>
            </a:extLst>
          </xdr:cNvPr>
          <xdr:cNvSpPr/>
        </xdr:nvSpPr>
        <xdr:spPr>
          <a:xfrm>
            <a:off x="-502755" y="3966562"/>
            <a:ext cx="142875" cy="209550"/>
          </a:xfrm>
          <a:custGeom>
            <a:avLst/>
            <a:gdLst>
              <a:gd name="connsiteX0" fmla="*/ 117770 w 142875"/>
              <a:gd name="connsiteY0" fmla="*/ 1071 h 209550"/>
              <a:gd name="connsiteX1" fmla="*/ 1098 w 142875"/>
              <a:gd name="connsiteY1" fmla="*/ 117372 h 209550"/>
              <a:gd name="connsiteX2" fmla="*/ 1067 w 142875"/>
              <a:gd name="connsiteY2" fmla="*/ 122598 h 209550"/>
              <a:gd name="connsiteX3" fmla="*/ 3708 w 142875"/>
              <a:gd name="connsiteY3" fmla="*/ 123696 h 209550"/>
              <a:gd name="connsiteX4" fmla="*/ 67135 w 142875"/>
              <a:gd name="connsiteY4" fmla="*/ 123696 h 209550"/>
              <a:gd name="connsiteX5" fmla="*/ 22910 w 142875"/>
              <a:gd name="connsiteY5" fmla="*/ 206964 h 209550"/>
              <a:gd name="connsiteX6" fmla="*/ 24482 w 142875"/>
              <a:gd name="connsiteY6" fmla="*/ 212216 h 209550"/>
              <a:gd name="connsiteX7" fmla="*/ 29083 w 142875"/>
              <a:gd name="connsiteY7" fmla="*/ 211526 h 209550"/>
              <a:gd name="connsiteX8" fmla="*/ 148707 w 142875"/>
              <a:gd name="connsiteY8" fmla="*/ 91902 h 209550"/>
              <a:gd name="connsiteX9" fmla="*/ 148706 w 142875"/>
              <a:gd name="connsiteY9" fmla="*/ 86662 h 209550"/>
              <a:gd name="connsiteX10" fmla="*/ 146088 w 142875"/>
              <a:gd name="connsiteY10" fmla="*/ 85577 h 209550"/>
              <a:gd name="connsiteX11" fmla="*/ 85128 w 142875"/>
              <a:gd name="connsiteY11" fmla="*/ 85577 h 209550"/>
              <a:gd name="connsiteX12" fmla="*/ 123961 w 142875"/>
              <a:gd name="connsiteY12" fmla="*/ 5510 h 209550"/>
              <a:gd name="connsiteX13" fmla="*/ 122078 w 142875"/>
              <a:gd name="connsiteY13" fmla="*/ 361 h 209550"/>
              <a:gd name="connsiteX14" fmla="*/ 117770 w 142875"/>
              <a:gd name="connsiteY14" fmla="*/ 1071 h 2095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142875" h="209550">
                <a:moveTo>
                  <a:pt x="117770" y="1071"/>
                </a:moveTo>
                <a:lnTo>
                  <a:pt x="1098" y="117372"/>
                </a:lnTo>
                <a:cubicBezTo>
                  <a:pt x="-354" y="118806"/>
                  <a:pt x="-368" y="121146"/>
                  <a:pt x="1067" y="122598"/>
                </a:cubicBezTo>
                <a:cubicBezTo>
                  <a:pt x="1764" y="123304"/>
                  <a:pt x="2715" y="123699"/>
                  <a:pt x="3708" y="123696"/>
                </a:cubicBezTo>
                <a:lnTo>
                  <a:pt x="67135" y="123696"/>
                </a:lnTo>
                <a:lnTo>
                  <a:pt x="22910" y="206964"/>
                </a:lnTo>
                <a:cubicBezTo>
                  <a:pt x="21894" y="208848"/>
                  <a:pt x="22598" y="211200"/>
                  <a:pt x="24482" y="212216"/>
                </a:cubicBezTo>
                <a:cubicBezTo>
                  <a:pt x="25998" y="213034"/>
                  <a:pt x="27873" y="212753"/>
                  <a:pt x="29083" y="211526"/>
                </a:cubicBezTo>
                <a:lnTo>
                  <a:pt x="148707" y="91902"/>
                </a:lnTo>
                <a:cubicBezTo>
                  <a:pt x="150154" y="90455"/>
                  <a:pt x="150153" y="88108"/>
                  <a:pt x="148706" y="86662"/>
                </a:cubicBezTo>
                <a:cubicBezTo>
                  <a:pt x="148012" y="85968"/>
                  <a:pt x="147070" y="85577"/>
                  <a:pt x="146088" y="85577"/>
                </a:cubicBezTo>
                <a:lnTo>
                  <a:pt x="85128" y="85577"/>
                </a:lnTo>
                <a:lnTo>
                  <a:pt x="123961" y="5510"/>
                </a:lnTo>
                <a:cubicBezTo>
                  <a:pt x="124863" y="3568"/>
                  <a:pt x="124020" y="1263"/>
                  <a:pt x="122078" y="361"/>
                </a:cubicBezTo>
                <a:cubicBezTo>
                  <a:pt x="120633" y="-311"/>
                  <a:pt x="118923" y="-29"/>
                  <a:pt x="117770" y="1071"/>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sp macro="" textlink="">
        <xdr:nvSpPr>
          <xdr:cNvPr id="18" name="Figura a mano libera: forma 17">
            <a:extLst>
              <a:ext uri="{FF2B5EF4-FFF2-40B4-BE49-F238E27FC236}">
                <a16:creationId xmlns:a16="http://schemas.microsoft.com/office/drawing/2014/main" id="{00000000-0008-0000-0000-000012000000}"/>
              </a:ext>
            </a:extLst>
          </xdr:cNvPr>
          <xdr:cNvSpPr/>
        </xdr:nvSpPr>
        <xdr:spPr>
          <a:xfrm>
            <a:off x="-708799" y="3843885"/>
            <a:ext cx="571500" cy="314325"/>
          </a:xfrm>
          <a:custGeom>
            <a:avLst/>
            <a:gdLst>
              <a:gd name="connsiteX0" fmla="*/ 513010 w 571500"/>
              <a:gd name="connsiteY0" fmla="*/ 186070 h 314325"/>
              <a:gd name="connsiteX1" fmla="*/ 474338 w 571500"/>
              <a:gd name="connsiteY1" fmla="*/ 199053 h 314325"/>
              <a:gd name="connsiteX2" fmla="*/ 378202 w 571500"/>
              <a:gd name="connsiteY2" fmla="*/ 76161 h 314325"/>
              <a:gd name="connsiteX3" fmla="*/ 375961 w 571500"/>
              <a:gd name="connsiteY3" fmla="*/ 12162 h 314325"/>
              <a:gd name="connsiteX4" fmla="*/ 311963 w 571500"/>
              <a:gd name="connsiteY4" fmla="*/ 14403 h 314325"/>
              <a:gd name="connsiteX5" fmla="*/ 303098 w 571500"/>
              <a:gd name="connsiteY5" fmla="*/ 62245 h 314325"/>
              <a:gd name="connsiteX6" fmla="*/ 98167 w 571500"/>
              <a:gd name="connsiteY6" fmla="*/ 185117 h 314325"/>
              <a:gd name="connsiteX7" fmla="*/ 20779 w 571500"/>
              <a:gd name="connsiteY7" fmla="*/ 176321 h 314325"/>
              <a:gd name="connsiteX8" fmla="*/ 11984 w 571500"/>
              <a:gd name="connsiteY8" fmla="*/ 253709 h 314325"/>
              <a:gd name="connsiteX9" fmla="*/ 89371 w 571500"/>
              <a:gd name="connsiteY9" fmla="*/ 262505 h 314325"/>
              <a:gd name="connsiteX10" fmla="*/ 105540 w 571500"/>
              <a:gd name="connsiteY10" fmla="*/ 197357 h 314325"/>
              <a:gd name="connsiteX11" fmla="*/ 310575 w 571500"/>
              <a:gd name="connsiteY11" fmla="*/ 74456 h 314325"/>
              <a:gd name="connsiteX12" fmla="*/ 366915 w 571500"/>
              <a:gd name="connsiteY12" fmla="*/ 84933 h 314325"/>
              <a:gd name="connsiteX13" fmla="*/ 463927 w 571500"/>
              <a:gd name="connsiteY13" fmla="*/ 208816 h 314325"/>
              <a:gd name="connsiteX14" fmla="*/ 471373 w 571500"/>
              <a:gd name="connsiteY14" fmla="*/ 299624 h 314325"/>
              <a:gd name="connsiteX15" fmla="*/ 562182 w 571500"/>
              <a:gd name="connsiteY15" fmla="*/ 292178 h 314325"/>
              <a:gd name="connsiteX16" fmla="*/ 554736 w 571500"/>
              <a:gd name="connsiteY16" fmla="*/ 201370 h 314325"/>
              <a:gd name="connsiteX17" fmla="*/ 513010 w 571500"/>
              <a:gd name="connsiteY17" fmla="*/ 186070 h 3143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571500" h="314325">
                <a:moveTo>
                  <a:pt x="513010" y="186070"/>
                </a:moveTo>
                <a:cubicBezTo>
                  <a:pt x="499049" y="186069"/>
                  <a:pt x="485470" y="190628"/>
                  <a:pt x="474338" y="199053"/>
                </a:cubicBezTo>
                <a:lnTo>
                  <a:pt x="378202" y="76161"/>
                </a:lnTo>
                <a:cubicBezTo>
                  <a:pt x="395256" y="57869"/>
                  <a:pt x="394253" y="29216"/>
                  <a:pt x="375961" y="12162"/>
                </a:cubicBezTo>
                <a:cubicBezTo>
                  <a:pt x="357669" y="-4892"/>
                  <a:pt x="329016" y="-3889"/>
                  <a:pt x="311963" y="14403"/>
                </a:cubicBezTo>
                <a:cubicBezTo>
                  <a:pt x="299963" y="27273"/>
                  <a:pt x="296506" y="45930"/>
                  <a:pt x="303098" y="62245"/>
                </a:cubicBezTo>
                <a:lnTo>
                  <a:pt x="98167" y="185117"/>
                </a:lnTo>
                <a:cubicBezTo>
                  <a:pt x="79226" y="161318"/>
                  <a:pt x="44579" y="157381"/>
                  <a:pt x="20779" y="176321"/>
                </a:cubicBezTo>
                <a:cubicBezTo>
                  <a:pt x="-3019" y="195263"/>
                  <a:pt x="-6957" y="229910"/>
                  <a:pt x="11984" y="253709"/>
                </a:cubicBezTo>
                <a:cubicBezTo>
                  <a:pt x="30925" y="277508"/>
                  <a:pt x="65573" y="281446"/>
                  <a:pt x="89371" y="262505"/>
                </a:cubicBezTo>
                <a:cubicBezTo>
                  <a:pt x="108901" y="246961"/>
                  <a:pt x="115536" y="220228"/>
                  <a:pt x="105540" y="197357"/>
                </a:cubicBezTo>
                <a:lnTo>
                  <a:pt x="310575" y="74456"/>
                </a:lnTo>
                <a:cubicBezTo>
                  <a:pt x="324274" y="91243"/>
                  <a:pt x="348097" y="95673"/>
                  <a:pt x="366915" y="84933"/>
                </a:cubicBezTo>
                <a:lnTo>
                  <a:pt x="463927" y="208816"/>
                </a:lnTo>
                <a:cubicBezTo>
                  <a:pt x="440907" y="235948"/>
                  <a:pt x="444241" y="276604"/>
                  <a:pt x="471373" y="299624"/>
                </a:cubicBezTo>
                <a:cubicBezTo>
                  <a:pt x="498506" y="322644"/>
                  <a:pt x="539162" y="319310"/>
                  <a:pt x="562182" y="292178"/>
                </a:cubicBezTo>
                <a:cubicBezTo>
                  <a:pt x="585202" y="265046"/>
                  <a:pt x="581869" y="224390"/>
                  <a:pt x="554736" y="201370"/>
                </a:cubicBezTo>
                <a:cubicBezTo>
                  <a:pt x="543082" y="191482"/>
                  <a:pt x="528293" y="186059"/>
                  <a:pt x="513010" y="186070"/>
                </a:cubicBezTo>
                <a:close/>
              </a:path>
            </a:pathLst>
          </a:custGeom>
          <a:grpFill/>
          <a:ln w="3175" cap="flat">
            <a:noFill/>
            <a:prstDash val="solid"/>
            <a:miter/>
          </a:ln>
        </xdr:spPr>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1pPr>
            <a:lvl2pPr marL="0" marR="0" indent="457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2pPr>
            <a:lvl3pPr marL="0" marR="0" indent="914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3pPr>
            <a:lvl4pPr marL="0" marR="0" indent="1371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4pPr>
            <a:lvl5pPr marL="0" marR="0" indent="18288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5pPr>
            <a:lvl6pPr marL="0" marR="0" indent="22860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6pPr>
            <a:lvl7pPr marL="0" marR="0" indent="27432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7pPr>
            <a:lvl8pPr marL="0" marR="0" indent="32004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8pPr>
            <a:lvl9pPr marL="0" marR="0" indent="365760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mj-lt"/>
                <a:ea typeface="+mj-ea"/>
                <a:cs typeface="+mj-cs"/>
                <a:sym typeface="Calibri"/>
              </a:defRPr>
            </a:lvl9pPr>
          </a:lstStyle>
          <a:p>
            <a:endParaRPr lang="en-GB"/>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342900</xdr:colOff>
      <xdr:row>6</xdr:row>
      <xdr:rowOff>292100</xdr:rowOff>
    </xdr:from>
    <xdr:to>
      <xdr:col>1</xdr:col>
      <xdr:colOff>2467610</xdr:colOff>
      <xdr:row>6</xdr:row>
      <xdr:rowOff>1011105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466725" y="1511300"/>
          <a:ext cx="2124710" cy="7190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342900</xdr:colOff>
      <xdr:row>6</xdr:row>
      <xdr:rowOff>292100</xdr:rowOff>
    </xdr:from>
    <xdr:to>
      <xdr:col>1</xdr:col>
      <xdr:colOff>2467610</xdr:colOff>
      <xdr:row>6</xdr:row>
      <xdr:rowOff>1011105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466725" y="1511300"/>
          <a:ext cx="2124710" cy="7190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342900</xdr:colOff>
      <xdr:row>6</xdr:row>
      <xdr:rowOff>292100</xdr:rowOff>
    </xdr:from>
    <xdr:to>
      <xdr:col>1</xdr:col>
      <xdr:colOff>2467610</xdr:colOff>
      <xdr:row>6</xdr:row>
      <xdr:rowOff>1011105</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466725" y="1511300"/>
          <a:ext cx="2124710" cy="7190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sers\quarto\Dropbox%2520(Powersoft%2520spa)\PS_Application_Support\Technical%2520Tools\DesignersTool\DesignersTool_1.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TUTORIAL"/>
      <sheetName val="LOUDSPEAKERS"/>
      <sheetName val="AMPLIFIERS"/>
      <sheetName val="OUTPUT"/>
      <sheetName val="IMAGES"/>
      <sheetName val="EXTRA"/>
    </sheetNames>
    <sheetDataSet>
      <sheetData sheetId="0" refreshError="1"/>
      <sheetData sheetId="1" refreshError="1"/>
      <sheetData sheetId="2"/>
      <sheetData sheetId="3" refreshError="1"/>
      <sheetData sheetId="4" refreshError="1"/>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Klas Dalbjörn" id="{C36AB984-409A-4849-991C-64233AA07296}" userId="84340acf2aa0ee5d" providerId="Windows Live"/>
</personList>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2" dT="2019-02-22T11:26:04.11" personId="{C36AB984-409A-4849-991C-64233AA07296}" id="{950FD59D-600A-4083-95D9-B63F07296BF8}">
    <text>Scenario 1</text>
  </threadedComment>
  <threadedComment ref="M3" dT="2019-02-22T11:26:17.90" personId="{C36AB984-409A-4849-991C-64233AA07296}" id="{A881B718-507E-417D-BC7D-730A6C140DE7}">
    <text>Scenario 2</text>
  </threadedComment>
  <threadedComment ref="M4" dT="2019-02-22T11:35:07.81" personId="{C36AB984-409A-4849-991C-64233AA07296}" id="{EE644149-9F9F-4B1B-A427-AEC97F02021A}">
    <text>Scenario 3</text>
  </threadedComment>
  <threadedComment ref="M5" dT="2019-02-22T12:40:42.76" personId="{C36AB984-409A-4849-991C-64233AA07296}" id="{92EA521D-1E71-4914-A939-AAB491FBF80D}">
    <text>Scenario 4</text>
  </threadedComment>
</ThreadedComments>
</file>

<file path=xl/threadedComments/threadedComment2.xml><?xml version="1.0" encoding="utf-8"?>
<ThreadedComments xmlns="http://schemas.microsoft.com/office/spreadsheetml/2018/threadedcomments" xmlns:x="http://schemas.openxmlformats.org/spreadsheetml/2006/main">
  <threadedComment ref="M2" dT="2019-02-22T11:26:04.11" personId="{C36AB984-409A-4849-991C-64233AA07296}" id="{6D406A92-9E9F-4CD5-924C-EADB89491EC7}">
    <text>Scenario 1</text>
  </threadedComment>
  <threadedComment ref="M3" dT="2019-02-22T11:26:17.90" personId="{C36AB984-409A-4849-991C-64233AA07296}" id="{53C60DDC-6F20-4EF3-A616-63F25BD5C0DB}">
    <text>Scenario 2</text>
  </threadedComment>
  <threadedComment ref="M4" dT="2019-02-22T11:35:07.81" personId="{C36AB984-409A-4849-991C-64233AA07296}" id="{C7B30F57-6D47-46BE-979E-2490B3B5B160}">
    <text>Scenario 3</text>
  </threadedComment>
  <threadedComment ref="M5" dT="2019-02-22T12:40:42.76" personId="{C36AB984-409A-4849-991C-64233AA07296}" id="{7B6A77D8-B873-4F4F-B903-638FC92ECD7F}">
    <text>Scenario 4</text>
  </threadedComment>
</ThreadedComments>
</file>

<file path=xl/threadedComments/threadedComment3.xml><?xml version="1.0" encoding="utf-8"?>
<ThreadedComments xmlns="http://schemas.microsoft.com/office/spreadsheetml/2018/threadedcomments" xmlns:x="http://schemas.openxmlformats.org/spreadsheetml/2006/main">
  <threadedComment ref="M2" dT="2019-02-22T11:26:04.11" personId="{C36AB984-409A-4849-991C-64233AA07296}" id="{6D406A92-9E9F-4CD6-924C-EADB89491EC7}">
    <text>Scenario 1</text>
  </threadedComment>
  <threadedComment ref="M3" dT="2019-02-22T11:26:17.90" personId="{C36AB984-409A-4849-991C-64233AA07296}" id="{53C60DDC-6F20-4EF4-A616-63F25BD5C0DB}">
    <text>Scenario 2</text>
  </threadedComment>
  <threadedComment ref="M4" dT="2019-02-22T11:35:07.81" personId="{C36AB984-409A-4849-991C-64233AA07296}" id="{C7B30F57-6D47-46BF-979E-2490B3B5B160}">
    <text>Scenario 3</text>
  </threadedComment>
  <threadedComment ref="M5" dT="2019-02-22T12:40:42.76" personId="{C36AB984-409A-4849-991C-64233AA07296}" id="{7B6A77D8-B873-4F50-B903-638FC92ECD7F}">
    <text>Scenario 4</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owersoft.com/en/my-powersoft/support-form?type=technicalsupport"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O278"/>
  <sheetViews>
    <sheetView showGridLines="0" showRowColHeaders="0" tabSelected="1" zoomScaleNormal="100" workbookViewId="0">
      <selection activeCell="C8" sqref="C8:H8"/>
    </sheetView>
  </sheetViews>
  <sheetFormatPr defaultColWidth="8.875" defaultRowHeight="15"/>
  <cols>
    <col min="1" max="1" width="42.625" style="229" customWidth="1"/>
    <col min="2" max="2" width="3.625" style="277" customWidth="1"/>
    <col min="3" max="3" width="9.125" style="229" customWidth="1"/>
    <col min="4" max="16384" width="8.875" style="229"/>
  </cols>
  <sheetData>
    <row r="1" spans="1:15" ht="18" customHeight="1">
      <c r="A1" s="276"/>
    </row>
    <row r="2" spans="1:15" ht="20.25" customHeight="1">
      <c r="A2" s="276"/>
      <c r="C2" s="278" t="s">
        <v>199</v>
      </c>
      <c r="N2" s="279"/>
      <c r="O2" s="279"/>
    </row>
    <row r="3" spans="1:15" ht="20.25">
      <c r="A3" s="276"/>
      <c r="C3" s="280" t="s">
        <v>0</v>
      </c>
      <c r="J3" s="281"/>
    </row>
    <row r="4" spans="1:15">
      <c r="A4" s="276"/>
    </row>
    <row r="5" spans="1:15" ht="14.25" customHeight="1">
      <c r="A5" s="276"/>
    </row>
    <row r="6" spans="1:15" ht="60" customHeight="1">
      <c r="A6" s="380" t="s">
        <v>1</v>
      </c>
      <c r="C6" s="385" t="s">
        <v>200</v>
      </c>
      <c r="D6" s="385"/>
      <c r="E6" s="385"/>
      <c r="F6" s="385"/>
      <c r="G6" s="385"/>
      <c r="H6" s="385"/>
      <c r="I6" s="282"/>
      <c r="J6" s="282"/>
      <c r="K6" s="282"/>
      <c r="L6" s="282"/>
      <c r="M6" s="282"/>
      <c r="N6" s="282"/>
      <c r="O6" s="282"/>
    </row>
    <row r="7" spans="1:15" ht="38.25" customHeight="1">
      <c r="A7" s="379" t="s">
        <v>2</v>
      </c>
      <c r="C7" s="385"/>
      <c r="D7" s="385"/>
      <c r="E7" s="385"/>
      <c r="F7" s="385"/>
      <c r="G7" s="385"/>
      <c r="H7" s="385"/>
      <c r="I7" s="282"/>
      <c r="J7" s="282"/>
      <c r="K7" s="282"/>
      <c r="L7" s="282"/>
      <c r="M7" s="282"/>
      <c r="N7" s="282"/>
      <c r="O7" s="282"/>
    </row>
    <row r="8" spans="1:15" ht="30" customHeight="1">
      <c r="A8" s="276"/>
      <c r="C8" s="389" t="s">
        <v>3</v>
      </c>
      <c r="D8" s="389"/>
      <c r="E8" s="389"/>
      <c r="F8" s="389"/>
      <c r="G8" s="389"/>
      <c r="H8" s="389"/>
      <c r="I8" s="282"/>
      <c r="J8" s="282"/>
      <c r="K8" s="282"/>
      <c r="L8" s="282"/>
      <c r="M8" s="282"/>
      <c r="N8" s="282"/>
      <c r="O8" s="282"/>
    </row>
    <row r="9" spans="1:15">
      <c r="A9" s="276"/>
      <c r="C9" s="282"/>
      <c r="D9" s="282"/>
      <c r="E9" s="282"/>
      <c r="F9" s="282"/>
      <c r="G9" s="282"/>
      <c r="H9" s="282"/>
      <c r="I9" s="282"/>
      <c r="J9" s="282"/>
      <c r="K9" s="282"/>
      <c r="L9" s="282"/>
      <c r="M9" s="282"/>
      <c r="N9" s="282"/>
      <c r="O9" s="282"/>
    </row>
    <row r="10" spans="1:15" ht="45" customHeight="1">
      <c r="A10" s="276"/>
      <c r="C10" s="385" t="s">
        <v>4</v>
      </c>
      <c r="D10" s="385"/>
      <c r="E10" s="385"/>
      <c r="F10" s="385"/>
      <c r="G10" s="385"/>
      <c r="H10" s="385"/>
      <c r="I10" s="282"/>
      <c r="J10" s="282"/>
      <c r="K10" s="282"/>
      <c r="L10" s="282"/>
      <c r="M10" s="282"/>
      <c r="N10" s="282"/>
      <c r="O10" s="282"/>
    </row>
    <row r="11" spans="1:15">
      <c r="A11" s="276"/>
      <c r="C11" s="282"/>
      <c r="D11" s="282"/>
      <c r="E11" s="282"/>
      <c r="F11" s="282"/>
      <c r="G11" s="282"/>
      <c r="H11" s="282"/>
      <c r="I11" s="282"/>
      <c r="J11" s="282"/>
      <c r="K11" s="282"/>
      <c r="L11" s="282"/>
      <c r="M11" s="282"/>
      <c r="N11" s="282"/>
      <c r="O11" s="282"/>
    </row>
    <row r="12" spans="1:15" ht="60" customHeight="1">
      <c r="A12" s="276"/>
      <c r="C12" s="383" t="s">
        <v>5</v>
      </c>
      <c r="D12" s="384"/>
      <c r="E12" s="384"/>
      <c r="F12" s="384"/>
      <c r="G12" s="384"/>
      <c r="H12" s="384"/>
      <c r="I12" s="282"/>
      <c r="J12" s="390"/>
      <c r="K12" s="390"/>
      <c r="L12" s="390"/>
      <c r="M12" s="390"/>
      <c r="N12" s="282"/>
      <c r="O12" s="282"/>
    </row>
    <row r="13" spans="1:15">
      <c r="A13" s="276"/>
      <c r="C13" s="384"/>
      <c r="D13" s="384"/>
      <c r="E13" s="384"/>
      <c r="F13" s="384"/>
      <c r="G13" s="384"/>
      <c r="H13" s="384"/>
      <c r="I13" s="282"/>
      <c r="J13" s="282"/>
      <c r="K13" s="282"/>
      <c r="L13" s="282"/>
      <c r="M13" s="282"/>
      <c r="N13" s="282"/>
      <c r="O13" s="282"/>
    </row>
    <row r="14" spans="1:15">
      <c r="A14" s="276"/>
      <c r="C14" s="282"/>
      <c r="D14" s="282"/>
      <c r="E14" s="282"/>
      <c r="F14" s="282"/>
      <c r="G14" s="282"/>
      <c r="H14" s="282"/>
      <c r="I14" s="282"/>
      <c r="J14" s="282"/>
      <c r="K14" s="282"/>
      <c r="L14" s="282"/>
      <c r="M14" s="282"/>
      <c r="N14" s="282"/>
      <c r="O14" s="282"/>
    </row>
    <row r="15" spans="1:15" ht="30" customHeight="1">
      <c r="A15" s="276"/>
      <c r="C15" s="391" t="s">
        <v>6</v>
      </c>
      <c r="D15" s="391"/>
      <c r="E15" s="372"/>
      <c r="F15" s="372"/>
      <c r="G15" s="372"/>
      <c r="H15" s="372"/>
      <c r="I15" s="282"/>
      <c r="J15" s="282"/>
      <c r="K15" s="282"/>
      <c r="L15" s="282"/>
      <c r="M15" s="282"/>
      <c r="N15" s="282"/>
      <c r="O15" s="282"/>
    </row>
    <row r="16" spans="1:15" ht="7.5" customHeight="1">
      <c r="A16" s="276"/>
      <c r="C16" s="282"/>
      <c r="D16" s="282"/>
      <c r="E16" s="282"/>
      <c r="F16" s="282"/>
      <c r="G16" s="282"/>
      <c r="H16" s="282"/>
      <c r="I16" s="282"/>
      <c r="J16" s="282"/>
      <c r="K16" s="282"/>
      <c r="L16" s="282"/>
      <c r="M16" s="282"/>
      <c r="N16" s="282"/>
      <c r="O16" s="282"/>
    </row>
    <row r="17" spans="1:15" ht="41.25" customHeight="1">
      <c r="A17" s="276"/>
      <c r="C17" s="382" t="s">
        <v>7</v>
      </c>
      <c r="D17" s="382"/>
      <c r="E17" s="382"/>
      <c r="F17" s="382"/>
      <c r="G17" s="382"/>
      <c r="H17" s="382"/>
      <c r="I17" s="382"/>
      <c r="J17" s="382"/>
      <c r="K17" s="382"/>
      <c r="L17" s="382"/>
      <c r="M17" s="382"/>
      <c r="N17" s="382"/>
      <c r="O17" s="382"/>
    </row>
    <row r="18" spans="1:15" ht="41.25" customHeight="1">
      <c r="A18" s="276"/>
      <c r="C18" s="382" t="s">
        <v>8</v>
      </c>
      <c r="D18" s="382"/>
      <c r="E18" s="382"/>
      <c r="F18" s="382"/>
      <c r="G18" s="382"/>
      <c r="H18" s="382"/>
      <c r="I18" s="382"/>
      <c r="J18" s="382"/>
      <c r="K18" s="382"/>
      <c r="L18" s="382"/>
      <c r="M18" s="382"/>
      <c r="N18" s="382"/>
      <c r="O18" s="382"/>
    </row>
    <row r="19" spans="1:15" ht="28.5" customHeight="1">
      <c r="A19" s="276"/>
      <c r="C19" s="382" t="s">
        <v>9</v>
      </c>
      <c r="D19" s="382"/>
      <c r="E19" s="382"/>
      <c r="F19" s="382"/>
      <c r="G19" s="382"/>
      <c r="H19" s="382"/>
      <c r="I19" s="382"/>
      <c r="J19" s="382"/>
      <c r="K19" s="382"/>
      <c r="L19" s="382"/>
      <c r="M19" s="382"/>
      <c r="N19" s="382"/>
      <c r="O19" s="382"/>
    </row>
    <row r="20" spans="1:15" ht="30" customHeight="1">
      <c r="A20" s="276"/>
      <c r="C20" s="382" t="s">
        <v>10</v>
      </c>
      <c r="D20" s="382"/>
      <c r="E20" s="382"/>
      <c r="F20" s="382"/>
      <c r="G20" s="382"/>
      <c r="H20" s="382"/>
      <c r="I20" s="382"/>
      <c r="J20" s="382"/>
      <c r="K20" s="382"/>
      <c r="L20" s="382"/>
      <c r="M20" s="382"/>
      <c r="N20" s="382"/>
      <c r="O20" s="382"/>
    </row>
    <row r="21" spans="1:15">
      <c r="A21" s="276"/>
      <c r="C21" s="282"/>
      <c r="D21" s="282"/>
      <c r="E21" s="282"/>
      <c r="F21" s="282"/>
      <c r="G21" s="282"/>
      <c r="H21" s="282"/>
      <c r="I21" s="282"/>
      <c r="J21" s="282"/>
      <c r="K21" s="282"/>
      <c r="L21" s="282"/>
      <c r="M21" s="282"/>
      <c r="N21" s="282"/>
      <c r="O21" s="282"/>
    </row>
    <row r="22" spans="1:15" ht="20.25" customHeight="1">
      <c r="A22" s="276"/>
      <c r="C22" s="386" t="s">
        <v>11</v>
      </c>
      <c r="D22" s="387"/>
      <c r="E22" s="282"/>
      <c r="F22" s="282"/>
      <c r="G22" s="282"/>
      <c r="H22" s="282"/>
      <c r="I22" s="282"/>
      <c r="J22" s="282"/>
      <c r="K22" s="282"/>
      <c r="L22" s="282"/>
      <c r="M22" s="282"/>
      <c r="N22" s="282"/>
      <c r="O22" s="282"/>
    </row>
    <row r="23" spans="1:15" ht="7.5" customHeight="1">
      <c r="A23" s="276"/>
      <c r="C23" s="373"/>
      <c r="D23" s="373"/>
      <c r="E23" s="282"/>
      <c r="F23" s="282"/>
      <c r="G23" s="282"/>
      <c r="H23" s="282"/>
      <c r="I23" s="282"/>
      <c r="J23" s="282"/>
      <c r="K23" s="282"/>
      <c r="L23" s="282"/>
      <c r="M23" s="282"/>
      <c r="N23" s="282"/>
      <c r="O23" s="282"/>
    </row>
    <row r="24" spans="1:15" ht="14.25" customHeight="1">
      <c r="A24" s="276"/>
      <c r="C24" s="388" t="s">
        <v>198</v>
      </c>
      <c r="D24" s="388"/>
      <c r="E24" s="388"/>
      <c r="F24" s="388"/>
      <c r="G24" s="388"/>
      <c r="H24" s="388"/>
      <c r="I24" s="388"/>
      <c r="J24" s="388"/>
      <c r="K24" s="388"/>
      <c r="L24" s="388"/>
      <c r="M24" s="388"/>
      <c r="N24" s="388"/>
      <c r="O24" s="388"/>
    </row>
    <row r="25" spans="1:15" ht="30" customHeight="1">
      <c r="A25" s="276"/>
      <c r="C25" s="382" t="s">
        <v>12</v>
      </c>
      <c r="D25" s="382"/>
      <c r="E25" s="382"/>
      <c r="F25" s="382"/>
      <c r="G25" s="382"/>
      <c r="H25" s="382"/>
      <c r="I25" s="382"/>
      <c r="J25" s="382"/>
      <c r="K25" s="382"/>
      <c r="L25" s="382"/>
      <c r="M25" s="382"/>
      <c r="N25" s="382"/>
      <c r="O25" s="382"/>
    </row>
    <row r="26" spans="1:15" ht="30" customHeight="1">
      <c r="A26" s="276"/>
      <c r="C26" s="382" t="s">
        <v>13</v>
      </c>
      <c r="D26" s="382"/>
      <c r="E26" s="382"/>
      <c r="F26" s="382"/>
      <c r="G26" s="382"/>
      <c r="H26" s="382"/>
      <c r="I26" s="382"/>
      <c r="J26" s="382"/>
      <c r="K26" s="382"/>
      <c r="L26" s="382"/>
      <c r="M26" s="382"/>
      <c r="N26" s="382"/>
      <c r="O26" s="382"/>
    </row>
    <row r="27" spans="1:15">
      <c r="A27" s="276"/>
    </row>
    <row r="28" spans="1:15">
      <c r="A28" s="276"/>
    </row>
    <row r="29" spans="1:15">
      <c r="A29" s="276"/>
    </row>
    <row r="30" spans="1:15">
      <c r="A30" s="276"/>
    </row>
    <row r="31" spans="1:15">
      <c r="A31" s="276"/>
    </row>
    <row r="32" spans="1:15">
      <c r="A32" s="276"/>
    </row>
    <row r="33" spans="1:15" s="277" customFormat="1">
      <c r="A33" s="276"/>
      <c r="C33" s="229"/>
      <c r="D33" s="229"/>
      <c r="E33" s="229"/>
      <c r="F33" s="229"/>
      <c r="G33" s="229"/>
      <c r="H33" s="229"/>
      <c r="I33" s="229"/>
      <c r="J33" s="229"/>
      <c r="K33" s="229"/>
      <c r="L33" s="229"/>
      <c r="M33" s="229"/>
      <c r="N33" s="229"/>
      <c r="O33" s="229"/>
    </row>
    <row r="34" spans="1:15" s="277" customFormat="1">
      <c r="A34" s="276"/>
      <c r="C34" s="229"/>
      <c r="D34" s="229"/>
      <c r="E34" s="229"/>
      <c r="F34" s="229"/>
      <c r="G34" s="229"/>
      <c r="H34" s="229"/>
      <c r="I34" s="229"/>
      <c r="J34" s="229"/>
      <c r="K34" s="229"/>
      <c r="L34" s="229"/>
      <c r="M34" s="229"/>
      <c r="N34" s="229"/>
      <c r="O34" s="229"/>
    </row>
    <row r="35" spans="1:15" s="277" customFormat="1">
      <c r="A35" s="276"/>
      <c r="C35" s="229"/>
      <c r="D35" s="229"/>
      <c r="E35" s="229"/>
      <c r="F35" s="229"/>
      <c r="G35" s="229"/>
      <c r="H35" s="229"/>
      <c r="I35" s="229"/>
      <c r="J35" s="229"/>
      <c r="K35" s="229"/>
      <c r="L35" s="229"/>
      <c r="M35" s="229"/>
      <c r="N35" s="229"/>
      <c r="O35" s="229"/>
    </row>
    <row r="36" spans="1:15" s="277" customFormat="1">
      <c r="A36" s="276"/>
      <c r="C36" s="229"/>
      <c r="D36" s="229"/>
      <c r="E36" s="229"/>
      <c r="F36" s="229"/>
      <c r="G36" s="229"/>
      <c r="H36" s="229"/>
      <c r="I36" s="229"/>
      <c r="J36" s="229"/>
      <c r="K36" s="229"/>
      <c r="L36" s="229"/>
      <c r="M36" s="229"/>
      <c r="N36" s="229"/>
      <c r="O36" s="229"/>
    </row>
    <row r="37" spans="1:15" s="277" customFormat="1">
      <c r="A37" s="276"/>
      <c r="C37" s="229"/>
      <c r="D37" s="229"/>
      <c r="E37" s="229"/>
      <c r="F37" s="229"/>
      <c r="G37" s="229"/>
      <c r="H37" s="229"/>
      <c r="I37" s="229"/>
      <c r="J37" s="229"/>
      <c r="K37" s="229"/>
      <c r="L37" s="229"/>
      <c r="M37" s="229"/>
      <c r="N37" s="229"/>
      <c r="O37" s="229"/>
    </row>
    <row r="38" spans="1:15" s="277" customFormat="1">
      <c r="A38" s="276"/>
      <c r="C38" s="229"/>
      <c r="D38" s="229"/>
      <c r="E38" s="229"/>
      <c r="F38" s="229"/>
      <c r="G38" s="229"/>
      <c r="H38" s="229"/>
      <c r="I38" s="229"/>
      <c r="J38" s="229"/>
      <c r="K38" s="229"/>
      <c r="L38" s="229"/>
      <c r="M38" s="229"/>
      <c r="N38" s="229"/>
      <c r="O38" s="229"/>
    </row>
    <row r="39" spans="1:15" s="277" customFormat="1">
      <c r="A39" s="276"/>
      <c r="C39" s="229"/>
      <c r="D39" s="229"/>
      <c r="E39" s="229"/>
      <c r="F39" s="229"/>
      <c r="G39" s="229"/>
      <c r="H39" s="229"/>
      <c r="I39" s="229"/>
      <c r="J39" s="229"/>
      <c r="K39" s="229"/>
      <c r="L39" s="229"/>
      <c r="M39" s="229"/>
      <c r="N39" s="229"/>
      <c r="O39" s="229"/>
    </row>
    <row r="40" spans="1:15" s="277" customFormat="1">
      <c r="A40" s="276"/>
      <c r="C40" s="229"/>
      <c r="D40" s="229"/>
      <c r="E40" s="229"/>
      <c r="F40" s="229"/>
      <c r="G40" s="229"/>
      <c r="H40" s="229"/>
      <c r="I40" s="229"/>
      <c r="J40" s="229"/>
      <c r="K40" s="229"/>
      <c r="L40" s="229"/>
      <c r="M40" s="229"/>
      <c r="N40" s="229"/>
      <c r="O40" s="229"/>
    </row>
    <row r="41" spans="1:15" s="277" customFormat="1">
      <c r="A41" s="276"/>
      <c r="C41" s="229"/>
      <c r="D41" s="229"/>
      <c r="E41" s="229"/>
      <c r="F41" s="229"/>
      <c r="G41" s="229"/>
      <c r="H41" s="229"/>
      <c r="I41" s="229"/>
      <c r="J41" s="229"/>
      <c r="K41" s="229"/>
      <c r="L41" s="229"/>
      <c r="M41" s="229"/>
      <c r="N41" s="229"/>
      <c r="O41" s="229"/>
    </row>
    <row r="42" spans="1:15" s="277" customFormat="1">
      <c r="A42" s="276"/>
      <c r="C42" s="229"/>
      <c r="D42" s="229"/>
      <c r="E42" s="229"/>
      <c r="F42" s="229"/>
      <c r="G42" s="229"/>
      <c r="H42" s="229"/>
      <c r="I42" s="229"/>
      <c r="J42" s="229"/>
      <c r="K42" s="229"/>
      <c r="L42" s="229"/>
      <c r="M42" s="229"/>
      <c r="N42" s="229"/>
      <c r="O42" s="229"/>
    </row>
    <row r="43" spans="1:15" s="277" customFormat="1">
      <c r="A43" s="276"/>
      <c r="C43" s="229"/>
      <c r="D43" s="229"/>
      <c r="E43" s="229"/>
      <c r="F43" s="229"/>
      <c r="G43" s="229"/>
      <c r="H43" s="229"/>
      <c r="I43" s="229"/>
      <c r="J43" s="229"/>
      <c r="K43" s="229"/>
      <c r="L43" s="229"/>
      <c r="M43" s="229"/>
      <c r="N43" s="229"/>
      <c r="O43" s="229"/>
    </row>
    <row r="44" spans="1:15" s="277" customFormat="1">
      <c r="A44" s="276"/>
      <c r="C44" s="229"/>
      <c r="D44" s="229"/>
      <c r="E44" s="229"/>
      <c r="F44" s="229"/>
      <c r="G44" s="229"/>
      <c r="H44" s="229"/>
      <c r="I44" s="229"/>
      <c r="J44" s="229"/>
      <c r="K44" s="229"/>
      <c r="L44" s="229"/>
      <c r="M44" s="229"/>
      <c r="N44" s="229"/>
      <c r="O44" s="229"/>
    </row>
    <row r="45" spans="1:15" s="277" customFormat="1">
      <c r="A45" s="276"/>
      <c r="C45" s="229"/>
      <c r="D45" s="229"/>
      <c r="E45" s="229"/>
      <c r="F45" s="229"/>
      <c r="G45" s="229"/>
      <c r="H45" s="229"/>
      <c r="I45" s="229"/>
      <c r="J45" s="229"/>
      <c r="K45" s="229"/>
      <c r="L45" s="229"/>
      <c r="M45" s="229"/>
      <c r="N45" s="229"/>
      <c r="O45" s="229"/>
    </row>
    <row r="46" spans="1:15" s="277" customFormat="1">
      <c r="A46" s="276"/>
      <c r="C46" s="229"/>
      <c r="D46" s="229"/>
      <c r="E46" s="229"/>
      <c r="F46" s="229"/>
      <c r="G46" s="229"/>
      <c r="H46" s="229"/>
      <c r="I46" s="229"/>
      <c r="J46" s="229"/>
      <c r="K46" s="229"/>
      <c r="L46" s="229"/>
      <c r="M46" s="229"/>
      <c r="N46" s="229"/>
      <c r="O46" s="229"/>
    </row>
    <row r="47" spans="1:15" s="277" customFormat="1">
      <c r="A47" s="276"/>
      <c r="C47" s="229"/>
      <c r="D47" s="229"/>
      <c r="E47" s="229"/>
      <c r="F47" s="229"/>
      <c r="G47" s="229"/>
      <c r="H47" s="229"/>
      <c r="I47" s="229"/>
      <c r="J47" s="229"/>
      <c r="K47" s="229"/>
      <c r="L47" s="229"/>
      <c r="M47" s="229"/>
      <c r="N47" s="229"/>
      <c r="O47" s="229"/>
    </row>
    <row r="48" spans="1:15" s="277" customFormat="1">
      <c r="A48" s="276"/>
      <c r="C48" s="229"/>
      <c r="D48" s="229"/>
      <c r="E48" s="229"/>
      <c r="F48" s="229"/>
      <c r="G48" s="229"/>
      <c r="H48" s="229"/>
      <c r="I48" s="229"/>
      <c r="J48" s="229"/>
      <c r="K48" s="229"/>
      <c r="L48" s="229"/>
      <c r="M48" s="229"/>
      <c r="N48" s="229"/>
      <c r="O48" s="229"/>
    </row>
    <row r="49" spans="1:15" s="277" customFormat="1">
      <c r="A49" s="276"/>
      <c r="C49" s="229"/>
      <c r="D49" s="229"/>
      <c r="E49" s="229"/>
      <c r="F49" s="229"/>
      <c r="G49" s="229"/>
      <c r="H49" s="229"/>
      <c r="I49" s="229"/>
      <c r="J49" s="229"/>
      <c r="K49" s="229"/>
      <c r="L49" s="229"/>
      <c r="M49" s="229"/>
      <c r="N49" s="229"/>
      <c r="O49" s="229"/>
    </row>
    <row r="50" spans="1:15" s="277" customFormat="1">
      <c r="A50" s="276"/>
      <c r="C50" s="229"/>
      <c r="D50" s="229"/>
      <c r="E50" s="229"/>
      <c r="F50" s="229"/>
      <c r="G50" s="229"/>
      <c r="H50" s="229"/>
      <c r="I50" s="229"/>
      <c r="J50" s="229"/>
      <c r="K50" s="229"/>
      <c r="L50" s="229"/>
      <c r="M50" s="229"/>
      <c r="N50" s="229"/>
      <c r="O50" s="229"/>
    </row>
    <row r="51" spans="1:15" s="277" customFormat="1">
      <c r="A51" s="276"/>
      <c r="C51" s="229"/>
      <c r="D51" s="229"/>
      <c r="E51" s="229"/>
      <c r="F51" s="229"/>
      <c r="G51" s="229"/>
      <c r="H51" s="229"/>
      <c r="I51" s="229"/>
      <c r="J51" s="229"/>
      <c r="K51" s="229"/>
      <c r="L51" s="229"/>
      <c r="M51" s="229"/>
      <c r="N51" s="229"/>
      <c r="O51" s="229"/>
    </row>
    <row r="52" spans="1:15" s="277" customFormat="1">
      <c r="A52" s="276"/>
      <c r="C52" s="229"/>
      <c r="D52" s="229"/>
      <c r="E52" s="229"/>
      <c r="F52" s="229"/>
      <c r="G52" s="229"/>
      <c r="H52" s="229"/>
      <c r="I52" s="229"/>
      <c r="J52" s="229"/>
      <c r="K52" s="229"/>
      <c r="L52" s="229"/>
      <c r="M52" s="229"/>
      <c r="N52" s="229"/>
      <c r="O52" s="229"/>
    </row>
    <row r="53" spans="1:15" s="277" customFormat="1">
      <c r="A53" s="276"/>
      <c r="C53" s="229"/>
      <c r="D53" s="229"/>
      <c r="E53" s="229"/>
      <c r="F53" s="229"/>
      <c r="G53" s="229"/>
      <c r="H53" s="229"/>
      <c r="I53" s="229"/>
      <c r="J53" s="229"/>
      <c r="K53" s="229"/>
      <c r="L53" s="229"/>
      <c r="M53" s="229"/>
      <c r="N53" s="229"/>
      <c r="O53" s="229"/>
    </row>
    <row r="54" spans="1:15" s="277" customFormat="1">
      <c r="A54" s="276"/>
      <c r="C54" s="229"/>
      <c r="D54" s="229"/>
      <c r="E54" s="229"/>
      <c r="F54" s="229"/>
      <c r="G54" s="229"/>
      <c r="H54" s="229"/>
      <c r="I54" s="229"/>
      <c r="J54" s="229"/>
      <c r="K54" s="229"/>
      <c r="L54" s="229"/>
      <c r="M54" s="229"/>
      <c r="N54" s="229"/>
      <c r="O54" s="229"/>
    </row>
    <row r="55" spans="1:15" s="277" customFormat="1">
      <c r="A55" s="276"/>
      <c r="C55" s="229"/>
      <c r="D55" s="229"/>
      <c r="E55" s="229"/>
      <c r="F55" s="229"/>
      <c r="G55" s="229"/>
      <c r="H55" s="229"/>
      <c r="I55" s="229"/>
      <c r="J55" s="229"/>
      <c r="K55" s="229"/>
      <c r="L55" s="229"/>
      <c r="M55" s="229"/>
      <c r="N55" s="229"/>
      <c r="O55" s="229"/>
    </row>
    <row r="56" spans="1:15" s="277" customFormat="1">
      <c r="A56" s="276"/>
      <c r="C56" s="229"/>
      <c r="D56" s="229"/>
      <c r="E56" s="229"/>
      <c r="F56" s="229"/>
      <c r="G56" s="229"/>
      <c r="H56" s="229"/>
      <c r="I56" s="229"/>
      <c r="J56" s="229"/>
      <c r="K56" s="229"/>
      <c r="L56" s="229"/>
      <c r="M56" s="229"/>
      <c r="N56" s="229"/>
      <c r="O56" s="229"/>
    </row>
    <row r="57" spans="1:15" s="277" customFormat="1">
      <c r="A57" s="276"/>
      <c r="C57" s="229"/>
      <c r="D57" s="229"/>
      <c r="E57" s="229"/>
      <c r="F57" s="229"/>
      <c r="G57" s="229"/>
      <c r="H57" s="229"/>
      <c r="I57" s="229"/>
      <c r="J57" s="229"/>
      <c r="K57" s="229"/>
      <c r="L57" s="229"/>
      <c r="M57" s="229"/>
      <c r="N57" s="229"/>
      <c r="O57" s="229"/>
    </row>
    <row r="58" spans="1:15" s="277" customFormat="1">
      <c r="A58" s="276"/>
      <c r="C58" s="229"/>
      <c r="D58" s="229"/>
      <c r="E58" s="229"/>
      <c r="F58" s="229"/>
      <c r="G58" s="229"/>
      <c r="H58" s="229"/>
      <c r="I58" s="229"/>
      <c r="J58" s="229"/>
      <c r="K58" s="229"/>
      <c r="L58" s="229"/>
      <c r="M58" s="229"/>
      <c r="N58" s="229"/>
      <c r="O58" s="229"/>
    </row>
    <row r="59" spans="1:15" s="277" customFormat="1">
      <c r="A59" s="276"/>
      <c r="C59" s="229"/>
      <c r="D59" s="229"/>
      <c r="E59" s="229"/>
      <c r="F59" s="229"/>
      <c r="G59" s="229"/>
      <c r="H59" s="229"/>
      <c r="I59" s="229"/>
      <c r="J59" s="229"/>
      <c r="K59" s="229"/>
      <c r="L59" s="229"/>
      <c r="M59" s="229"/>
      <c r="N59" s="229"/>
      <c r="O59" s="229"/>
    </row>
    <row r="60" spans="1:15" s="277" customFormat="1">
      <c r="A60" s="276"/>
      <c r="C60" s="229"/>
      <c r="D60" s="229"/>
      <c r="E60" s="229"/>
      <c r="F60" s="229"/>
      <c r="G60" s="229"/>
      <c r="H60" s="229"/>
      <c r="I60" s="229"/>
      <c r="J60" s="229"/>
      <c r="K60" s="229"/>
      <c r="L60" s="229"/>
      <c r="M60" s="229"/>
      <c r="N60" s="229"/>
      <c r="O60" s="229"/>
    </row>
    <row r="61" spans="1:15" s="277" customFormat="1">
      <c r="A61" s="276"/>
      <c r="C61" s="229"/>
      <c r="D61" s="229"/>
      <c r="E61" s="229"/>
      <c r="F61" s="229"/>
      <c r="G61" s="229"/>
      <c r="H61" s="229"/>
      <c r="I61" s="229"/>
      <c r="J61" s="229"/>
      <c r="K61" s="229"/>
      <c r="L61" s="229"/>
      <c r="M61" s="229"/>
      <c r="N61" s="229"/>
      <c r="O61" s="229"/>
    </row>
    <row r="62" spans="1:15" s="277" customFormat="1">
      <c r="A62" s="276"/>
      <c r="C62" s="229"/>
      <c r="D62" s="229"/>
      <c r="E62" s="229"/>
      <c r="F62" s="229"/>
      <c r="G62" s="229"/>
      <c r="H62" s="229"/>
      <c r="I62" s="229"/>
      <c r="J62" s="229"/>
      <c r="K62" s="229"/>
      <c r="L62" s="229"/>
      <c r="M62" s="229"/>
      <c r="N62" s="229"/>
      <c r="O62" s="229"/>
    </row>
    <row r="63" spans="1:15" s="277" customFormat="1">
      <c r="A63" s="276"/>
      <c r="C63" s="229"/>
      <c r="D63" s="229"/>
      <c r="E63" s="229"/>
      <c r="F63" s="229"/>
      <c r="G63" s="229"/>
      <c r="H63" s="229"/>
      <c r="I63" s="229"/>
      <c r="J63" s="229"/>
      <c r="K63" s="229"/>
      <c r="L63" s="229"/>
      <c r="M63" s="229"/>
      <c r="N63" s="229"/>
      <c r="O63" s="229"/>
    </row>
    <row r="64" spans="1:15" s="277" customFormat="1">
      <c r="A64" s="276"/>
      <c r="C64" s="229"/>
      <c r="D64" s="229"/>
      <c r="E64" s="229"/>
      <c r="F64" s="229"/>
      <c r="G64" s="229"/>
      <c r="H64" s="229"/>
      <c r="I64" s="229"/>
      <c r="J64" s="229"/>
      <c r="K64" s="229"/>
      <c r="L64" s="229"/>
      <c r="M64" s="229"/>
      <c r="N64" s="229"/>
      <c r="O64" s="229"/>
    </row>
    <row r="65" spans="1:15" s="277" customFormat="1">
      <c r="A65" s="276"/>
      <c r="C65" s="229"/>
      <c r="D65" s="229"/>
      <c r="E65" s="229"/>
      <c r="F65" s="229"/>
      <c r="G65" s="229"/>
      <c r="H65" s="229"/>
      <c r="I65" s="229"/>
      <c r="J65" s="229"/>
      <c r="K65" s="229"/>
      <c r="L65" s="229"/>
      <c r="M65" s="229"/>
      <c r="N65" s="229"/>
      <c r="O65" s="229"/>
    </row>
    <row r="66" spans="1:15" s="277" customFormat="1">
      <c r="A66" s="276"/>
      <c r="C66" s="229"/>
      <c r="D66" s="229"/>
      <c r="E66" s="229"/>
      <c r="F66" s="229"/>
      <c r="G66" s="229"/>
      <c r="H66" s="229"/>
      <c r="I66" s="229"/>
      <c r="J66" s="229"/>
      <c r="K66" s="229"/>
      <c r="L66" s="229"/>
      <c r="M66" s="229"/>
      <c r="N66" s="229"/>
      <c r="O66" s="229"/>
    </row>
    <row r="67" spans="1:15" s="277" customFormat="1">
      <c r="A67" s="276"/>
      <c r="C67" s="229"/>
      <c r="D67" s="229"/>
      <c r="E67" s="229"/>
      <c r="F67" s="229"/>
      <c r="G67" s="229"/>
      <c r="H67" s="229"/>
      <c r="I67" s="229"/>
      <c r="J67" s="229"/>
      <c r="K67" s="229"/>
      <c r="L67" s="229"/>
      <c r="M67" s="229"/>
      <c r="N67" s="229"/>
      <c r="O67" s="229"/>
    </row>
    <row r="68" spans="1:15" s="277" customFormat="1">
      <c r="A68" s="276"/>
      <c r="C68" s="229"/>
      <c r="D68" s="229"/>
      <c r="E68" s="229"/>
      <c r="F68" s="229"/>
      <c r="G68" s="229"/>
      <c r="H68" s="229"/>
      <c r="I68" s="229"/>
      <c r="J68" s="229"/>
      <c r="K68" s="229"/>
      <c r="L68" s="229"/>
      <c r="M68" s="229"/>
      <c r="N68" s="229"/>
      <c r="O68" s="229"/>
    </row>
    <row r="69" spans="1:15" s="277" customFormat="1">
      <c r="A69" s="276"/>
      <c r="C69" s="229"/>
      <c r="D69" s="229"/>
      <c r="E69" s="229"/>
      <c r="F69" s="229"/>
      <c r="G69" s="229"/>
      <c r="H69" s="229"/>
      <c r="I69" s="229"/>
      <c r="J69" s="229"/>
      <c r="K69" s="229"/>
      <c r="L69" s="229"/>
      <c r="M69" s="229"/>
      <c r="N69" s="229"/>
      <c r="O69" s="229"/>
    </row>
    <row r="70" spans="1:15" s="277" customFormat="1">
      <c r="A70" s="276"/>
      <c r="C70" s="229"/>
      <c r="D70" s="229"/>
      <c r="E70" s="229"/>
      <c r="F70" s="229"/>
      <c r="G70" s="229"/>
      <c r="H70" s="229"/>
      <c r="I70" s="229"/>
      <c r="J70" s="229"/>
      <c r="K70" s="229"/>
      <c r="L70" s="229"/>
      <c r="M70" s="229"/>
      <c r="N70" s="229"/>
      <c r="O70" s="229"/>
    </row>
    <row r="71" spans="1:15" s="277" customFormat="1">
      <c r="A71" s="276"/>
      <c r="C71" s="229"/>
      <c r="D71" s="229"/>
      <c r="E71" s="229"/>
      <c r="F71" s="229"/>
      <c r="G71" s="229"/>
      <c r="H71" s="229"/>
      <c r="I71" s="229"/>
      <c r="J71" s="229"/>
      <c r="K71" s="229"/>
      <c r="L71" s="229"/>
      <c r="M71" s="229"/>
      <c r="N71" s="229"/>
      <c r="O71" s="229"/>
    </row>
    <row r="72" spans="1:15" s="277" customFormat="1">
      <c r="A72" s="276"/>
      <c r="C72" s="229"/>
      <c r="D72" s="229"/>
      <c r="E72" s="229"/>
      <c r="F72" s="229"/>
      <c r="G72" s="229"/>
      <c r="H72" s="229"/>
      <c r="I72" s="229"/>
      <c r="J72" s="229"/>
      <c r="K72" s="229"/>
      <c r="L72" s="229"/>
      <c r="M72" s="229"/>
      <c r="N72" s="229"/>
      <c r="O72" s="229"/>
    </row>
    <row r="73" spans="1:15" s="277" customFormat="1">
      <c r="A73" s="276"/>
      <c r="C73" s="229"/>
      <c r="D73" s="229"/>
      <c r="E73" s="229"/>
      <c r="F73" s="229"/>
      <c r="G73" s="229"/>
      <c r="H73" s="229"/>
      <c r="I73" s="229"/>
      <c r="J73" s="229"/>
      <c r="K73" s="229"/>
      <c r="L73" s="229"/>
      <c r="M73" s="229"/>
      <c r="N73" s="229"/>
      <c r="O73" s="229"/>
    </row>
    <row r="74" spans="1:15" s="277" customFormat="1">
      <c r="A74" s="276"/>
      <c r="C74" s="229"/>
      <c r="D74" s="229"/>
      <c r="E74" s="229"/>
      <c r="F74" s="229"/>
      <c r="G74" s="229"/>
      <c r="H74" s="229"/>
      <c r="I74" s="229"/>
      <c r="J74" s="229"/>
      <c r="K74" s="229"/>
      <c r="L74" s="229"/>
      <c r="M74" s="229"/>
      <c r="N74" s="229"/>
      <c r="O74" s="229"/>
    </row>
    <row r="75" spans="1:15" s="277" customFormat="1">
      <c r="A75" s="276"/>
      <c r="C75" s="229"/>
      <c r="D75" s="229"/>
      <c r="E75" s="229"/>
      <c r="F75" s="229"/>
      <c r="G75" s="229"/>
      <c r="H75" s="229"/>
      <c r="I75" s="229"/>
      <c r="J75" s="229"/>
      <c r="K75" s="229"/>
      <c r="L75" s="229"/>
      <c r="M75" s="229"/>
      <c r="N75" s="229"/>
      <c r="O75" s="229"/>
    </row>
    <row r="76" spans="1:15" s="277" customFormat="1">
      <c r="A76" s="276"/>
      <c r="C76" s="229"/>
      <c r="D76" s="229"/>
      <c r="E76" s="229"/>
      <c r="F76" s="229"/>
      <c r="G76" s="229"/>
      <c r="H76" s="229"/>
      <c r="I76" s="229"/>
      <c r="J76" s="229"/>
      <c r="K76" s="229"/>
      <c r="L76" s="229"/>
      <c r="M76" s="229"/>
      <c r="N76" s="229"/>
      <c r="O76" s="229"/>
    </row>
    <row r="77" spans="1:15" s="277" customFormat="1">
      <c r="A77" s="276"/>
      <c r="C77" s="229"/>
      <c r="D77" s="229"/>
      <c r="E77" s="229"/>
      <c r="F77" s="229"/>
      <c r="G77" s="229"/>
      <c r="H77" s="229"/>
      <c r="I77" s="229"/>
      <c r="J77" s="229"/>
      <c r="K77" s="229"/>
      <c r="L77" s="229"/>
      <c r="M77" s="229"/>
      <c r="N77" s="229"/>
      <c r="O77" s="229"/>
    </row>
    <row r="78" spans="1:15" s="277" customFormat="1">
      <c r="A78" s="276"/>
      <c r="C78" s="229"/>
      <c r="D78" s="229"/>
      <c r="E78" s="229"/>
      <c r="F78" s="229"/>
      <c r="G78" s="229"/>
      <c r="H78" s="229"/>
      <c r="I78" s="229"/>
      <c r="J78" s="229"/>
      <c r="K78" s="229"/>
      <c r="L78" s="229"/>
      <c r="M78" s="229"/>
      <c r="N78" s="229"/>
      <c r="O78" s="229"/>
    </row>
    <row r="79" spans="1:15" s="277" customFormat="1">
      <c r="A79" s="276"/>
      <c r="C79" s="229"/>
      <c r="D79" s="229"/>
      <c r="E79" s="229"/>
      <c r="F79" s="229"/>
      <c r="G79" s="229"/>
      <c r="H79" s="229"/>
      <c r="I79" s="229"/>
      <c r="J79" s="229"/>
      <c r="K79" s="229"/>
      <c r="L79" s="229"/>
      <c r="M79" s="229"/>
      <c r="N79" s="229"/>
      <c r="O79" s="229"/>
    </row>
    <row r="80" spans="1:15" s="277" customFormat="1">
      <c r="A80" s="276"/>
      <c r="C80" s="229"/>
      <c r="D80" s="229"/>
      <c r="E80" s="229"/>
      <c r="F80" s="229"/>
      <c r="G80" s="229"/>
      <c r="H80" s="229"/>
      <c r="I80" s="229"/>
      <c r="J80" s="229"/>
      <c r="K80" s="229"/>
      <c r="L80" s="229"/>
      <c r="M80" s="229"/>
      <c r="N80" s="229"/>
      <c r="O80" s="229"/>
    </row>
    <row r="81" spans="1:15" s="277" customFormat="1">
      <c r="A81" s="276"/>
      <c r="C81" s="229"/>
      <c r="D81" s="229"/>
      <c r="E81" s="229"/>
      <c r="F81" s="229"/>
      <c r="G81" s="229"/>
      <c r="H81" s="229"/>
      <c r="I81" s="229"/>
      <c r="J81" s="229"/>
      <c r="K81" s="229"/>
      <c r="L81" s="229"/>
      <c r="M81" s="229"/>
      <c r="N81" s="229"/>
      <c r="O81" s="229"/>
    </row>
    <row r="82" spans="1:15" s="277" customFormat="1">
      <c r="A82" s="276"/>
      <c r="C82" s="229"/>
      <c r="D82" s="229"/>
      <c r="E82" s="229"/>
      <c r="F82" s="229"/>
      <c r="G82" s="229"/>
      <c r="H82" s="229"/>
      <c r="I82" s="229"/>
      <c r="J82" s="229"/>
      <c r="K82" s="229"/>
      <c r="L82" s="229"/>
      <c r="M82" s="229"/>
      <c r="N82" s="229"/>
      <c r="O82" s="229"/>
    </row>
    <row r="83" spans="1:15" s="277" customFormat="1">
      <c r="A83" s="276"/>
      <c r="C83" s="229"/>
      <c r="D83" s="229"/>
      <c r="E83" s="229"/>
      <c r="F83" s="229"/>
      <c r="G83" s="229"/>
      <c r="H83" s="229"/>
      <c r="I83" s="229"/>
      <c r="J83" s="229"/>
      <c r="K83" s="229"/>
      <c r="L83" s="229"/>
      <c r="M83" s="229"/>
      <c r="N83" s="229"/>
      <c r="O83" s="229"/>
    </row>
    <row r="84" spans="1:15" s="277" customFormat="1">
      <c r="A84" s="276"/>
      <c r="C84" s="229"/>
      <c r="D84" s="229"/>
      <c r="E84" s="229"/>
      <c r="F84" s="229"/>
      <c r="G84" s="229"/>
      <c r="H84" s="229"/>
      <c r="I84" s="229"/>
      <c r="J84" s="229"/>
      <c r="K84" s="229"/>
      <c r="L84" s="229"/>
      <c r="M84" s="229"/>
      <c r="N84" s="229"/>
      <c r="O84" s="229"/>
    </row>
    <row r="85" spans="1:15" s="277" customFormat="1">
      <c r="A85" s="276"/>
      <c r="C85" s="229"/>
      <c r="D85" s="229"/>
      <c r="E85" s="229"/>
      <c r="F85" s="229"/>
      <c r="G85" s="229"/>
      <c r="H85" s="229"/>
      <c r="I85" s="229"/>
      <c r="J85" s="229"/>
      <c r="K85" s="229"/>
      <c r="L85" s="229"/>
      <c r="M85" s="229"/>
      <c r="N85" s="229"/>
      <c r="O85" s="229"/>
    </row>
    <row r="86" spans="1:15" s="277" customFormat="1">
      <c r="A86" s="276"/>
      <c r="C86" s="229"/>
      <c r="D86" s="229"/>
      <c r="E86" s="229"/>
      <c r="F86" s="229"/>
      <c r="G86" s="229"/>
      <c r="H86" s="229"/>
      <c r="I86" s="229"/>
      <c r="J86" s="229"/>
      <c r="K86" s="229"/>
      <c r="L86" s="229"/>
      <c r="M86" s="229"/>
      <c r="N86" s="229"/>
      <c r="O86" s="229"/>
    </row>
    <row r="87" spans="1:15" s="277" customFormat="1">
      <c r="A87" s="276"/>
      <c r="C87" s="229"/>
      <c r="D87" s="229"/>
      <c r="E87" s="229"/>
      <c r="F87" s="229"/>
      <c r="G87" s="229"/>
      <c r="H87" s="229"/>
      <c r="I87" s="229"/>
      <c r="J87" s="229"/>
      <c r="K87" s="229"/>
      <c r="L87" s="229"/>
      <c r="M87" s="229"/>
      <c r="N87" s="229"/>
      <c r="O87" s="229"/>
    </row>
    <row r="88" spans="1:15" s="277" customFormat="1">
      <c r="A88" s="276"/>
      <c r="C88" s="229"/>
      <c r="D88" s="229"/>
      <c r="E88" s="229"/>
      <c r="F88" s="229"/>
      <c r="G88" s="229"/>
      <c r="H88" s="229"/>
      <c r="I88" s="229"/>
      <c r="J88" s="229"/>
      <c r="K88" s="229"/>
      <c r="L88" s="229"/>
      <c r="M88" s="229"/>
      <c r="N88" s="229"/>
      <c r="O88" s="229"/>
    </row>
    <row r="89" spans="1:15" s="277" customFormat="1">
      <c r="A89" s="276"/>
      <c r="C89" s="229"/>
      <c r="D89" s="229"/>
      <c r="E89" s="229"/>
      <c r="F89" s="229"/>
      <c r="G89" s="229"/>
      <c r="H89" s="229"/>
      <c r="I89" s="229"/>
      <c r="J89" s="229"/>
      <c r="K89" s="229"/>
      <c r="L89" s="229"/>
      <c r="M89" s="229"/>
      <c r="N89" s="229"/>
      <c r="O89" s="229"/>
    </row>
    <row r="90" spans="1:15" s="277" customFormat="1">
      <c r="A90" s="276"/>
      <c r="C90" s="229"/>
      <c r="D90" s="229"/>
      <c r="E90" s="229"/>
      <c r="F90" s="229"/>
      <c r="G90" s="229"/>
      <c r="H90" s="229"/>
      <c r="I90" s="229"/>
      <c r="J90" s="229"/>
      <c r="K90" s="229"/>
      <c r="L90" s="229"/>
      <c r="M90" s="229"/>
      <c r="N90" s="229"/>
      <c r="O90" s="229"/>
    </row>
    <row r="91" spans="1:15" s="277" customFormat="1">
      <c r="A91" s="276"/>
      <c r="C91" s="229"/>
      <c r="D91" s="229"/>
      <c r="E91" s="229"/>
      <c r="F91" s="229"/>
      <c r="G91" s="229"/>
      <c r="H91" s="229"/>
      <c r="I91" s="229"/>
      <c r="J91" s="229"/>
      <c r="K91" s="229"/>
      <c r="L91" s="229"/>
      <c r="M91" s="229"/>
      <c r="N91" s="229"/>
      <c r="O91" s="229"/>
    </row>
    <row r="92" spans="1:15" s="277" customFormat="1">
      <c r="A92" s="276"/>
      <c r="C92" s="229"/>
      <c r="D92" s="229"/>
      <c r="E92" s="229"/>
      <c r="F92" s="229"/>
      <c r="G92" s="229"/>
      <c r="H92" s="229"/>
      <c r="I92" s="229"/>
      <c r="J92" s="229"/>
      <c r="K92" s="229"/>
      <c r="L92" s="229"/>
      <c r="M92" s="229"/>
      <c r="N92" s="229"/>
      <c r="O92" s="229"/>
    </row>
    <row r="93" spans="1:15" s="277" customFormat="1">
      <c r="A93" s="276"/>
      <c r="C93" s="229"/>
      <c r="D93" s="229"/>
      <c r="E93" s="229"/>
      <c r="F93" s="229"/>
      <c r="G93" s="229"/>
      <c r="H93" s="229"/>
      <c r="I93" s="229"/>
      <c r="J93" s="229"/>
      <c r="K93" s="229"/>
      <c r="L93" s="229"/>
      <c r="M93" s="229"/>
      <c r="N93" s="229"/>
      <c r="O93" s="229"/>
    </row>
    <row r="94" spans="1:15" s="277" customFormat="1">
      <c r="A94" s="276"/>
      <c r="C94" s="229"/>
      <c r="D94" s="229"/>
      <c r="E94" s="229"/>
      <c r="F94" s="229"/>
      <c r="G94" s="229"/>
      <c r="H94" s="229"/>
      <c r="I94" s="229"/>
      <c r="J94" s="229"/>
      <c r="K94" s="229"/>
      <c r="L94" s="229"/>
      <c r="M94" s="229"/>
      <c r="N94" s="229"/>
      <c r="O94" s="229"/>
    </row>
    <row r="95" spans="1:15" s="277" customFormat="1">
      <c r="A95" s="276"/>
      <c r="C95" s="229"/>
      <c r="D95" s="229"/>
      <c r="E95" s="229"/>
      <c r="F95" s="229"/>
      <c r="G95" s="229"/>
      <c r="H95" s="229"/>
      <c r="I95" s="229"/>
      <c r="J95" s="229"/>
      <c r="K95" s="229"/>
      <c r="L95" s="229"/>
      <c r="M95" s="229"/>
      <c r="N95" s="229"/>
      <c r="O95" s="229"/>
    </row>
    <row r="96" spans="1:15" s="277" customFormat="1">
      <c r="A96" s="276"/>
      <c r="C96" s="229"/>
      <c r="D96" s="229"/>
      <c r="E96" s="229"/>
      <c r="F96" s="229"/>
      <c r="G96" s="229"/>
      <c r="H96" s="229"/>
      <c r="I96" s="229"/>
      <c r="J96" s="229"/>
      <c r="K96" s="229"/>
      <c r="L96" s="229"/>
      <c r="M96" s="229"/>
      <c r="N96" s="229"/>
      <c r="O96" s="229"/>
    </row>
    <row r="97" spans="1:15" s="277" customFormat="1">
      <c r="A97" s="276"/>
      <c r="C97" s="229"/>
      <c r="D97" s="229"/>
      <c r="E97" s="229"/>
      <c r="F97" s="229"/>
      <c r="G97" s="229"/>
      <c r="H97" s="229"/>
      <c r="I97" s="229"/>
      <c r="J97" s="229"/>
      <c r="K97" s="229"/>
      <c r="L97" s="229"/>
      <c r="M97" s="229"/>
      <c r="N97" s="229"/>
      <c r="O97" s="229"/>
    </row>
    <row r="98" spans="1:15" s="277" customFormat="1">
      <c r="A98" s="276"/>
      <c r="C98" s="229"/>
      <c r="D98" s="229"/>
      <c r="E98" s="229"/>
      <c r="F98" s="229"/>
      <c r="G98" s="229"/>
      <c r="H98" s="229"/>
      <c r="I98" s="229"/>
      <c r="J98" s="229"/>
      <c r="K98" s="229"/>
      <c r="L98" s="229"/>
      <c r="M98" s="229"/>
      <c r="N98" s="229"/>
      <c r="O98" s="229"/>
    </row>
    <row r="99" spans="1:15" s="277" customFormat="1">
      <c r="A99" s="276"/>
      <c r="C99" s="229"/>
      <c r="D99" s="229"/>
      <c r="E99" s="229"/>
      <c r="F99" s="229"/>
      <c r="G99" s="229"/>
      <c r="H99" s="229"/>
      <c r="I99" s="229"/>
      <c r="J99" s="229"/>
      <c r="K99" s="229"/>
      <c r="L99" s="229"/>
      <c r="M99" s="229"/>
      <c r="N99" s="229"/>
      <c r="O99" s="229"/>
    </row>
    <row r="100" spans="1:15" s="277" customFormat="1">
      <c r="A100" s="276"/>
      <c r="C100" s="229"/>
      <c r="D100" s="229"/>
      <c r="E100" s="229"/>
      <c r="F100" s="229"/>
      <c r="G100" s="229"/>
      <c r="H100" s="229"/>
      <c r="I100" s="229"/>
      <c r="J100" s="229"/>
      <c r="K100" s="229"/>
      <c r="L100" s="229"/>
      <c r="M100" s="229"/>
      <c r="N100" s="229"/>
      <c r="O100" s="229"/>
    </row>
    <row r="101" spans="1:15" s="277" customFormat="1">
      <c r="A101" s="276"/>
      <c r="C101" s="229"/>
      <c r="D101" s="229"/>
      <c r="E101" s="229"/>
      <c r="F101" s="229"/>
      <c r="G101" s="229"/>
      <c r="H101" s="229"/>
      <c r="I101" s="229"/>
      <c r="J101" s="229"/>
      <c r="K101" s="229"/>
      <c r="L101" s="229"/>
      <c r="M101" s="229"/>
      <c r="N101" s="229"/>
      <c r="O101" s="229"/>
    </row>
    <row r="102" spans="1:15" s="277" customFormat="1">
      <c r="A102" s="276"/>
      <c r="C102" s="229"/>
      <c r="D102" s="229"/>
      <c r="E102" s="229"/>
      <c r="F102" s="229"/>
      <c r="G102" s="229"/>
      <c r="H102" s="229"/>
      <c r="I102" s="229"/>
      <c r="J102" s="229"/>
      <c r="K102" s="229"/>
      <c r="L102" s="229"/>
      <c r="M102" s="229"/>
      <c r="N102" s="229"/>
      <c r="O102" s="229"/>
    </row>
    <row r="103" spans="1:15" s="277" customFormat="1">
      <c r="A103" s="276"/>
      <c r="C103" s="229"/>
      <c r="D103" s="229"/>
      <c r="E103" s="229"/>
      <c r="F103" s="229"/>
      <c r="G103" s="229"/>
      <c r="H103" s="229"/>
      <c r="I103" s="229"/>
      <c r="J103" s="229"/>
      <c r="K103" s="229"/>
      <c r="L103" s="229"/>
      <c r="M103" s="229"/>
      <c r="N103" s="229"/>
      <c r="O103" s="229"/>
    </row>
    <row r="104" spans="1:15" s="277" customFormat="1">
      <c r="A104" s="276"/>
      <c r="C104" s="229"/>
      <c r="D104" s="229"/>
      <c r="E104" s="229"/>
      <c r="F104" s="229"/>
      <c r="G104" s="229"/>
      <c r="H104" s="229"/>
      <c r="I104" s="229"/>
      <c r="J104" s="229"/>
      <c r="K104" s="229"/>
      <c r="L104" s="229"/>
      <c r="M104" s="229"/>
      <c r="N104" s="229"/>
      <c r="O104" s="229"/>
    </row>
    <row r="105" spans="1:15" s="277" customFormat="1">
      <c r="A105" s="276"/>
      <c r="C105" s="229"/>
      <c r="D105" s="229"/>
      <c r="E105" s="229"/>
      <c r="F105" s="229"/>
      <c r="G105" s="229"/>
      <c r="H105" s="229"/>
      <c r="I105" s="229"/>
      <c r="J105" s="229"/>
      <c r="K105" s="229"/>
      <c r="L105" s="229"/>
      <c r="M105" s="229"/>
      <c r="N105" s="229"/>
      <c r="O105" s="229"/>
    </row>
    <row r="106" spans="1:15" s="277" customFormat="1">
      <c r="A106" s="276"/>
      <c r="C106" s="229"/>
      <c r="D106" s="229"/>
      <c r="E106" s="229"/>
      <c r="F106" s="229"/>
      <c r="G106" s="229"/>
      <c r="H106" s="229"/>
      <c r="I106" s="229"/>
      <c r="J106" s="229"/>
      <c r="K106" s="229"/>
      <c r="L106" s="229"/>
      <c r="M106" s="229"/>
      <c r="N106" s="229"/>
      <c r="O106" s="229"/>
    </row>
    <row r="107" spans="1:15" s="277" customFormat="1">
      <c r="A107" s="276"/>
      <c r="C107" s="229"/>
      <c r="D107" s="229"/>
      <c r="E107" s="229"/>
      <c r="F107" s="229"/>
      <c r="G107" s="229"/>
      <c r="H107" s="229"/>
      <c r="I107" s="229"/>
      <c r="J107" s="229"/>
      <c r="K107" s="229"/>
      <c r="L107" s="229"/>
      <c r="M107" s="229"/>
      <c r="N107" s="229"/>
      <c r="O107" s="229"/>
    </row>
    <row r="108" spans="1:15" s="277" customFormat="1">
      <c r="A108" s="276"/>
      <c r="C108" s="229"/>
      <c r="D108" s="229"/>
      <c r="E108" s="229"/>
      <c r="F108" s="229"/>
      <c r="G108" s="229"/>
      <c r="H108" s="229"/>
      <c r="I108" s="229"/>
      <c r="J108" s="229"/>
      <c r="K108" s="229"/>
      <c r="L108" s="229"/>
      <c r="M108" s="229"/>
      <c r="N108" s="229"/>
      <c r="O108" s="229"/>
    </row>
    <row r="109" spans="1:15" s="277" customFormat="1">
      <c r="A109" s="276"/>
      <c r="C109" s="229"/>
      <c r="D109" s="229"/>
      <c r="E109" s="229"/>
      <c r="F109" s="229"/>
      <c r="G109" s="229"/>
      <c r="H109" s="229"/>
      <c r="I109" s="229"/>
      <c r="J109" s="229"/>
      <c r="K109" s="229"/>
      <c r="L109" s="229"/>
      <c r="M109" s="229"/>
      <c r="N109" s="229"/>
      <c r="O109" s="229"/>
    </row>
    <row r="110" spans="1:15" s="277" customFormat="1">
      <c r="A110" s="276"/>
      <c r="C110" s="229"/>
      <c r="D110" s="229"/>
      <c r="E110" s="229"/>
      <c r="F110" s="229"/>
      <c r="G110" s="229"/>
      <c r="H110" s="229"/>
      <c r="I110" s="229"/>
      <c r="J110" s="229"/>
      <c r="K110" s="229"/>
      <c r="L110" s="229"/>
      <c r="M110" s="229"/>
      <c r="N110" s="229"/>
      <c r="O110" s="229"/>
    </row>
    <row r="111" spans="1:15" s="277" customFormat="1">
      <c r="A111" s="276"/>
      <c r="C111" s="229"/>
      <c r="D111" s="229"/>
      <c r="E111" s="229"/>
      <c r="F111" s="229"/>
      <c r="G111" s="229"/>
      <c r="H111" s="229"/>
      <c r="I111" s="229"/>
      <c r="J111" s="229"/>
      <c r="K111" s="229"/>
      <c r="L111" s="229"/>
      <c r="M111" s="229"/>
      <c r="N111" s="229"/>
      <c r="O111" s="229"/>
    </row>
    <row r="112" spans="1:15" s="277" customFormat="1">
      <c r="A112" s="276"/>
      <c r="C112" s="229"/>
      <c r="D112" s="229"/>
      <c r="E112" s="229"/>
      <c r="F112" s="229"/>
      <c r="G112" s="229"/>
      <c r="H112" s="229"/>
      <c r="I112" s="229"/>
      <c r="J112" s="229"/>
      <c r="K112" s="229"/>
      <c r="L112" s="229"/>
      <c r="M112" s="229"/>
      <c r="N112" s="229"/>
      <c r="O112" s="229"/>
    </row>
    <row r="113" spans="1:15" s="277" customFormat="1">
      <c r="A113" s="276"/>
      <c r="C113" s="229"/>
      <c r="D113" s="229"/>
      <c r="E113" s="229"/>
      <c r="F113" s="229"/>
      <c r="G113" s="229"/>
      <c r="H113" s="229"/>
      <c r="I113" s="229"/>
      <c r="J113" s="229"/>
      <c r="K113" s="229"/>
      <c r="L113" s="229"/>
      <c r="M113" s="229"/>
      <c r="N113" s="229"/>
      <c r="O113" s="229"/>
    </row>
    <row r="114" spans="1:15" s="277" customFormat="1">
      <c r="A114" s="276"/>
      <c r="C114" s="229"/>
      <c r="D114" s="229"/>
      <c r="E114" s="229"/>
      <c r="F114" s="229"/>
      <c r="G114" s="229"/>
      <c r="H114" s="229"/>
      <c r="I114" s="229"/>
      <c r="J114" s="229"/>
      <c r="K114" s="229"/>
      <c r="L114" s="229"/>
      <c r="M114" s="229"/>
      <c r="N114" s="229"/>
      <c r="O114" s="229"/>
    </row>
    <row r="115" spans="1:15" s="277" customFormat="1">
      <c r="A115" s="276"/>
      <c r="C115" s="229"/>
      <c r="D115" s="229"/>
      <c r="E115" s="229"/>
      <c r="F115" s="229"/>
      <c r="G115" s="229"/>
      <c r="H115" s="229"/>
      <c r="I115" s="229"/>
      <c r="J115" s="229"/>
      <c r="K115" s="229"/>
      <c r="L115" s="229"/>
      <c r="M115" s="229"/>
      <c r="N115" s="229"/>
      <c r="O115" s="229"/>
    </row>
    <row r="116" spans="1:15" s="277" customFormat="1">
      <c r="A116" s="276"/>
      <c r="C116" s="229"/>
      <c r="D116" s="229"/>
      <c r="E116" s="229"/>
      <c r="F116" s="229"/>
      <c r="G116" s="229"/>
      <c r="H116" s="229"/>
      <c r="I116" s="229"/>
      <c r="J116" s="229"/>
      <c r="K116" s="229"/>
      <c r="L116" s="229"/>
      <c r="M116" s="229"/>
      <c r="N116" s="229"/>
      <c r="O116" s="229"/>
    </row>
    <row r="117" spans="1:15" s="277" customFormat="1">
      <c r="A117" s="276"/>
      <c r="C117" s="229"/>
      <c r="D117" s="229"/>
      <c r="E117" s="229"/>
      <c r="F117" s="229"/>
      <c r="G117" s="229"/>
      <c r="H117" s="229"/>
      <c r="I117" s="229"/>
      <c r="J117" s="229"/>
      <c r="K117" s="229"/>
      <c r="L117" s="229"/>
      <c r="M117" s="229"/>
      <c r="N117" s="229"/>
      <c r="O117" s="229"/>
    </row>
    <row r="118" spans="1:15" s="277" customFormat="1">
      <c r="A118" s="276"/>
      <c r="C118" s="229"/>
      <c r="D118" s="229"/>
      <c r="E118" s="229"/>
      <c r="F118" s="229"/>
      <c r="G118" s="229"/>
      <c r="H118" s="229"/>
      <c r="I118" s="229"/>
      <c r="J118" s="229"/>
      <c r="K118" s="229"/>
      <c r="L118" s="229"/>
      <c r="M118" s="229"/>
      <c r="N118" s="229"/>
      <c r="O118" s="229"/>
    </row>
    <row r="119" spans="1:15" s="277" customFormat="1">
      <c r="A119" s="276"/>
      <c r="C119" s="229"/>
      <c r="D119" s="229"/>
      <c r="E119" s="229"/>
      <c r="F119" s="229"/>
      <c r="G119" s="229"/>
      <c r="H119" s="229"/>
      <c r="I119" s="229"/>
      <c r="J119" s="229"/>
      <c r="K119" s="229"/>
      <c r="L119" s="229"/>
      <c r="M119" s="229"/>
      <c r="N119" s="229"/>
      <c r="O119" s="229"/>
    </row>
    <row r="120" spans="1:15" s="277" customFormat="1">
      <c r="A120" s="276"/>
      <c r="C120" s="229"/>
      <c r="D120" s="229"/>
      <c r="E120" s="229"/>
      <c r="F120" s="229"/>
      <c r="G120" s="229"/>
      <c r="H120" s="229"/>
      <c r="I120" s="229"/>
      <c r="J120" s="229"/>
      <c r="K120" s="229"/>
      <c r="L120" s="229"/>
      <c r="M120" s="229"/>
      <c r="N120" s="229"/>
      <c r="O120" s="229"/>
    </row>
    <row r="121" spans="1:15" s="277" customFormat="1">
      <c r="A121" s="276"/>
      <c r="C121" s="229"/>
      <c r="D121" s="229"/>
      <c r="E121" s="229"/>
      <c r="F121" s="229"/>
      <c r="G121" s="229"/>
      <c r="H121" s="229"/>
      <c r="I121" s="229"/>
      <c r="J121" s="229"/>
      <c r="K121" s="229"/>
      <c r="L121" s="229"/>
      <c r="M121" s="229"/>
      <c r="N121" s="229"/>
      <c r="O121" s="229"/>
    </row>
    <row r="122" spans="1:15" s="277" customFormat="1">
      <c r="A122" s="276"/>
      <c r="C122" s="229"/>
      <c r="D122" s="229"/>
      <c r="E122" s="229"/>
      <c r="F122" s="229"/>
      <c r="G122" s="229"/>
      <c r="H122" s="229"/>
      <c r="I122" s="229"/>
      <c r="J122" s="229"/>
      <c r="K122" s="229"/>
      <c r="L122" s="229"/>
      <c r="M122" s="229"/>
      <c r="N122" s="229"/>
      <c r="O122" s="229"/>
    </row>
    <row r="123" spans="1:15" s="277" customFormat="1">
      <c r="A123" s="276"/>
      <c r="C123" s="229"/>
      <c r="D123" s="229"/>
      <c r="E123" s="229"/>
      <c r="F123" s="229"/>
      <c r="G123" s="229"/>
      <c r="H123" s="229"/>
      <c r="I123" s="229"/>
      <c r="J123" s="229"/>
      <c r="K123" s="229"/>
      <c r="L123" s="229"/>
      <c r="M123" s="229"/>
      <c r="N123" s="229"/>
      <c r="O123" s="229"/>
    </row>
    <row r="124" spans="1:15" s="277" customFormat="1">
      <c r="A124" s="276"/>
      <c r="C124" s="229"/>
      <c r="D124" s="229"/>
      <c r="E124" s="229"/>
      <c r="F124" s="229"/>
      <c r="G124" s="229"/>
      <c r="H124" s="229"/>
      <c r="I124" s="229"/>
      <c r="J124" s="229"/>
      <c r="K124" s="229"/>
      <c r="L124" s="229"/>
      <c r="M124" s="229"/>
      <c r="N124" s="229"/>
      <c r="O124" s="229"/>
    </row>
    <row r="125" spans="1:15" s="277" customFormat="1">
      <c r="A125" s="276"/>
      <c r="C125" s="229"/>
      <c r="D125" s="229"/>
      <c r="E125" s="229"/>
      <c r="F125" s="229"/>
      <c r="G125" s="229"/>
      <c r="H125" s="229"/>
      <c r="I125" s="229"/>
      <c r="J125" s="229"/>
      <c r="K125" s="229"/>
      <c r="L125" s="229"/>
      <c r="M125" s="229"/>
      <c r="N125" s="229"/>
      <c r="O125" s="229"/>
    </row>
    <row r="126" spans="1:15" s="277" customFormat="1">
      <c r="A126" s="276"/>
      <c r="C126" s="229"/>
      <c r="D126" s="229"/>
      <c r="E126" s="229"/>
      <c r="F126" s="229"/>
      <c r="G126" s="229"/>
      <c r="H126" s="229"/>
      <c r="I126" s="229"/>
      <c r="J126" s="229"/>
      <c r="K126" s="229"/>
      <c r="L126" s="229"/>
      <c r="M126" s="229"/>
      <c r="N126" s="229"/>
      <c r="O126" s="229"/>
    </row>
    <row r="127" spans="1:15" s="277" customFormat="1">
      <c r="A127" s="276"/>
      <c r="C127" s="229"/>
      <c r="D127" s="229"/>
      <c r="E127" s="229"/>
      <c r="F127" s="229"/>
      <c r="G127" s="229"/>
      <c r="H127" s="229"/>
      <c r="I127" s="229"/>
      <c r="J127" s="229"/>
      <c r="K127" s="229"/>
      <c r="L127" s="229"/>
      <c r="M127" s="229"/>
      <c r="N127" s="229"/>
      <c r="O127" s="229"/>
    </row>
    <row r="128" spans="1:15" s="277" customFormat="1">
      <c r="A128" s="276"/>
      <c r="C128" s="229"/>
      <c r="D128" s="229"/>
      <c r="E128" s="229"/>
      <c r="F128" s="229"/>
      <c r="G128" s="229"/>
      <c r="H128" s="229"/>
      <c r="I128" s="229"/>
      <c r="J128" s="229"/>
      <c r="K128" s="229"/>
      <c r="L128" s="229"/>
      <c r="M128" s="229"/>
      <c r="N128" s="229"/>
      <c r="O128" s="229"/>
    </row>
    <row r="129" spans="1:15" s="277" customFormat="1">
      <c r="A129" s="276"/>
      <c r="C129" s="229"/>
      <c r="D129" s="229"/>
      <c r="E129" s="229"/>
      <c r="F129" s="229"/>
      <c r="G129" s="229"/>
      <c r="H129" s="229"/>
      <c r="I129" s="229"/>
      <c r="J129" s="229"/>
      <c r="K129" s="229"/>
      <c r="L129" s="229"/>
      <c r="M129" s="229"/>
      <c r="N129" s="229"/>
      <c r="O129" s="229"/>
    </row>
    <row r="130" spans="1:15" s="277" customFormat="1">
      <c r="A130" s="276"/>
      <c r="C130" s="229"/>
      <c r="D130" s="229"/>
      <c r="E130" s="229"/>
      <c r="F130" s="229"/>
      <c r="G130" s="229"/>
      <c r="H130" s="229"/>
      <c r="I130" s="229"/>
      <c r="J130" s="229"/>
      <c r="K130" s="229"/>
      <c r="L130" s="229"/>
      <c r="M130" s="229"/>
      <c r="N130" s="229"/>
      <c r="O130" s="229"/>
    </row>
    <row r="131" spans="1:15" s="277" customFormat="1">
      <c r="A131" s="276"/>
      <c r="C131" s="229"/>
      <c r="D131" s="229"/>
      <c r="E131" s="229"/>
      <c r="F131" s="229"/>
      <c r="G131" s="229"/>
      <c r="H131" s="229"/>
      <c r="I131" s="229"/>
      <c r="J131" s="229"/>
      <c r="K131" s="229"/>
      <c r="L131" s="229"/>
      <c r="M131" s="229"/>
      <c r="N131" s="229"/>
      <c r="O131" s="229"/>
    </row>
    <row r="132" spans="1:15" s="277" customFormat="1">
      <c r="A132" s="276"/>
      <c r="C132" s="229"/>
      <c r="D132" s="229"/>
      <c r="E132" s="229"/>
      <c r="F132" s="229"/>
      <c r="G132" s="229"/>
      <c r="H132" s="229"/>
      <c r="I132" s="229"/>
      <c r="J132" s="229"/>
      <c r="K132" s="229"/>
      <c r="L132" s="229"/>
      <c r="M132" s="229"/>
      <c r="N132" s="229"/>
      <c r="O132" s="229"/>
    </row>
    <row r="133" spans="1:15" s="277" customFormat="1">
      <c r="A133" s="276"/>
      <c r="C133" s="229"/>
      <c r="D133" s="229"/>
      <c r="E133" s="229"/>
      <c r="F133" s="229"/>
      <c r="G133" s="229"/>
      <c r="H133" s="229"/>
      <c r="I133" s="229"/>
      <c r="J133" s="229"/>
      <c r="K133" s="229"/>
      <c r="L133" s="229"/>
      <c r="M133" s="229"/>
      <c r="N133" s="229"/>
      <c r="O133" s="229"/>
    </row>
    <row r="134" spans="1:15" s="277" customFormat="1">
      <c r="A134" s="276"/>
      <c r="C134" s="229"/>
      <c r="D134" s="229"/>
      <c r="E134" s="229"/>
      <c r="F134" s="229"/>
      <c r="G134" s="229"/>
      <c r="H134" s="229"/>
      <c r="I134" s="229"/>
      <c r="J134" s="229"/>
      <c r="K134" s="229"/>
      <c r="L134" s="229"/>
      <c r="M134" s="229"/>
      <c r="N134" s="229"/>
      <c r="O134" s="229"/>
    </row>
    <row r="135" spans="1:15" s="277" customFormat="1">
      <c r="A135" s="276"/>
      <c r="C135" s="229"/>
      <c r="D135" s="229"/>
      <c r="E135" s="229"/>
      <c r="F135" s="229"/>
      <c r="G135" s="229"/>
      <c r="H135" s="229"/>
      <c r="I135" s="229"/>
      <c r="J135" s="229"/>
      <c r="K135" s="229"/>
      <c r="L135" s="229"/>
      <c r="M135" s="229"/>
      <c r="N135" s="229"/>
      <c r="O135" s="229"/>
    </row>
    <row r="136" spans="1:15" s="277" customFormat="1">
      <c r="A136" s="276"/>
      <c r="C136" s="229"/>
      <c r="D136" s="229"/>
      <c r="E136" s="229"/>
      <c r="F136" s="229"/>
      <c r="G136" s="229"/>
      <c r="H136" s="229"/>
      <c r="I136" s="229"/>
      <c r="J136" s="229"/>
      <c r="K136" s="229"/>
      <c r="L136" s="229"/>
      <c r="M136" s="229"/>
      <c r="N136" s="229"/>
      <c r="O136" s="229"/>
    </row>
    <row r="137" spans="1:15" s="277" customFormat="1">
      <c r="A137" s="276"/>
      <c r="C137" s="229"/>
      <c r="D137" s="229"/>
      <c r="E137" s="229"/>
      <c r="F137" s="229"/>
      <c r="G137" s="229"/>
      <c r="H137" s="229"/>
      <c r="I137" s="229"/>
      <c r="J137" s="229"/>
      <c r="K137" s="229"/>
      <c r="L137" s="229"/>
      <c r="M137" s="229"/>
      <c r="N137" s="229"/>
      <c r="O137" s="229"/>
    </row>
    <row r="138" spans="1:15" s="277" customFormat="1">
      <c r="A138" s="276"/>
      <c r="C138" s="229"/>
      <c r="D138" s="229"/>
      <c r="E138" s="229"/>
      <c r="F138" s="229"/>
      <c r="G138" s="229"/>
      <c r="H138" s="229"/>
      <c r="I138" s="229"/>
      <c r="J138" s="229"/>
      <c r="K138" s="229"/>
      <c r="L138" s="229"/>
      <c r="M138" s="229"/>
      <c r="N138" s="229"/>
      <c r="O138" s="229"/>
    </row>
    <row r="139" spans="1:15" s="277" customFormat="1">
      <c r="A139" s="276"/>
      <c r="C139" s="229"/>
      <c r="D139" s="229"/>
      <c r="E139" s="229"/>
      <c r="F139" s="229"/>
      <c r="G139" s="229"/>
      <c r="H139" s="229"/>
      <c r="I139" s="229"/>
      <c r="J139" s="229"/>
      <c r="K139" s="229"/>
      <c r="L139" s="229"/>
      <c r="M139" s="229"/>
      <c r="N139" s="229"/>
      <c r="O139" s="229"/>
    </row>
    <row r="140" spans="1:15" s="277" customFormat="1">
      <c r="A140" s="276"/>
      <c r="C140" s="229"/>
      <c r="D140" s="229"/>
      <c r="E140" s="229"/>
      <c r="F140" s="229"/>
      <c r="G140" s="229"/>
      <c r="H140" s="229"/>
      <c r="I140" s="229"/>
      <c r="J140" s="229"/>
      <c r="K140" s="229"/>
      <c r="L140" s="229"/>
      <c r="M140" s="229"/>
      <c r="N140" s="229"/>
      <c r="O140" s="229"/>
    </row>
    <row r="141" spans="1:15" s="277" customFormat="1">
      <c r="A141" s="276"/>
      <c r="C141" s="229"/>
      <c r="D141" s="229"/>
      <c r="E141" s="229"/>
      <c r="F141" s="229"/>
      <c r="G141" s="229"/>
      <c r="H141" s="229"/>
      <c r="I141" s="229"/>
      <c r="J141" s="229"/>
      <c r="K141" s="229"/>
      <c r="L141" s="229"/>
      <c r="M141" s="229"/>
      <c r="N141" s="229"/>
      <c r="O141" s="229"/>
    </row>
    <row r="142" spans="1:15" s="277" customFormat="1">
      <c r="A142" s="276"/>
      <c r="C142" s="229"/>
      <c r="D142" s="229"/>
      <c r="E142" s="229"/>
      <c r="F142" s="229"/>
      <c r="G142" s="229"/>
      <c r="H142" s="229"/>
      <c r="I142" s="229"/>
      <c r="J142" s="229"/>
      <c r="K142" s="229"/>
      <c r="L142" s="229"/>
      <c r="M142" s="229"/>
      <c r="N142" s="229"/>
      <c r="O142" s="229"/>
    </row>
    <row r="143" spans="1:15" s="277" customFormat="1">
      <c r="A143" s="276"/>
      <c r="C143" s="229"/>
      <c r="D143" s="229"/>
      <c r="E143" s="229"/>
      <c r="F143" s="229"/>
      <c r="G143" s="229"/>
      <c r="H143" s="229"/>
      <c r="I143" s="229"/>
      <c r="J143" s="229"/>
      <c r="K143" s="229"/>
      <c r="L143" s="229"/>
      <c r="M143" s="229"/>
      <c r="N143" s="229"/>
      <c r="O143" s="229"/>
    </row>
    <row r="144" spans="1:15" s="277" customFormat="1">
      <c r="A144" s="276"/>
      <c r="C144" s="229"/>
      <c r="D144" s="229"/>
      <c r="E144" s="229"/>
      <c r="F144" s="229"/>
      <c r="G144" s="229"/>
      <c r="H144" s="229"/>
      <c r="I144" s="229"/>
      <c r="J144" s="229"/>
      <c r="K144" s="229"/>
      <c r="L144" s="229"/>
      <c r="M144" s="229"/>
      <c r="N144" s="229"/>
      <c r="O144" s="229"/>
    </row>
    <row r="145" spans="1:15" s="277" customFormat="1">
      <c r="A145" s="276"/>
      <c r="C145" s="229"/>
      <c r="D145" s="229"/>
      <c r="E145" s="229"/>
      <c r="F145" s="229"/>
      <c r="G145" s="229"/>
      <c r="H145" s="229"/>
      <c r="I145" s="229"/>
      <c r="J145" s="229"/>
      <c r="K145" s="229"/>
      <c r="L145" s="229"/>
      <c r="M145" s="229"/>
      <c r="N145" s="229"/>
      <c r="O145" s="229"/>
    </row>
    <row r="146" spans="1:15" s="277" customFormat="1">
      <c r="A146" s="276"/>
      <c r="C146" s="229"/>
      <c r="D146" s="229"/>
      <c r="E146" s="229"/>
      <c r="F146" s="229"/>
      <c r="G146" s="229"/>
      <c r="H146" s="229"/>
      <c r="I146" s="229"/>
      <c r="J146" s="229"/>
      <c r="K146" s="229"/>
      <c r="L146" s="229"/>
      <c r="M146" s="229"/>
      <c r="N146" s="229"/>
      <c r="O146" s="229"/>
    </row>
    <row r="147" spans="1:15" s="277" customFormat="1">
      <c r="A147" s="276"/>
      <c r="C147" s="229"/>
      <c r="D147" s="229"/>
      <c r="E147" s="229"/>
      <c r="F147" s="229"/>
      <c r="G147" s="229"/>
      <c r="H147" s="229"/>
      <c r="I147" s="229"/>
      <c r="J147" s="229"/>
      <c r="K147" s="229"/>
      <c r="L147" s="229"/>
      <c r="M147" s="229"/>
      <c r="N147" s="229"/>
      <c r="O147" s="229"/>
    </row>
    <row r="148" spans="1:15" s="277" customFormat="1">
      <c r="A148" s="276"/>
      <c r="C148" s="229"/>
      <c r="D148" s="229"/>
      <c r="E148" s="229"/>
      <c r="F148" s="229"/>
      <c r="G148" s="229"/>
      <c r="H148" s="229"/>
      <c r="I148" s="229"/>
      <c r="J148" s="229"/>
      <c r="K148" s="229"/>
      <c r="L148" s="229"/>
      <c r="M148" s="229"/>
      <c r="N148" s="229"/>
      <c r="O148" s="229"/>
    </row>
    <row r="149" spans="1:15" s="277" customFormat="1">
      <c r="A149" s="276"/>
      <c r="C149" s="229"/>
      <c r="D149" s="229"/>
      <c r="E149" s="229"/>
      <c r="F149" s="229"/>
      <c r="G149" s="229"/>
      <c r="H149" s="229"/>
      <c r="I149" s="229"/>
      <c r="J149" s="229"/>
      <c r="K149" s="229"/>
      <c r="L149" s="229"/>
      <c r="M149" s="229"/>
      <c r="N149" s="229"/>
      <c r="O149" s="229"/>
    </row>
    <row r="150" spans="1:15" s="277" customFormat="1">
      <c r="A150" s="276"/>
      <c r="C150" s="229"/>
      <c r="D150" s="229"/>
      <c r="E150" s="229"/>
      <c r="F150" s="229"/>
      <c r="G150" s="229"/>
      <c r="H150" s="229"/>
      <c r="I150" s="229"/>
      <c r="J150" s="229"/>
      <c r="K150" s="229"/>
      <c r="L150" s="229"/>
      <c r="M150" s="229"/>
      <c r="N150" s="229"/>
      <c r="O150" s="229"/>
    </row>
    <row r="151" spans="1:15" s="277" customFormat="1">
      <c r="A151" s="276"/>
      <c r="C151" s="229"/>
      <c r="D151" s="229"/>
      <c r="E151" s="229"/>
      <c r="F151" s="229"/>
      <c r="G151" s="229"/>
      <c r="H151" s="229"/>
      <c r="I151" s="229"/>
      <c r="J151" s="229"/>
      <c r="K151" s="229"/>
      <c r="L151" s="229"/>
      <c r="M151" s="229"/>
      <c r="N151" s="229"/>
      <c r="O151" s="229"/>
    </row>
    <row r="152" spans="1:15" s="277" customFormat="1">
      <c r="A152" s="276"/>
      <c r="C152" s="229"/>
      <c r="D152" s="229"/>
      <c r="E152" s="229"/>
      <c r="F152" s="229"/>
      <c r="G152" s="229"/>
      <c r="H152" s="229"/>
      <c r="I152" s="229"/>
      <c r="J152" s="229"/>
      <c r="K152" s="229"/>
      <c r="L152" s="229"/>
      <c r="M152" s="229"/>
      <c r="N152" s="229"/>
      <c r="O152" s="229"/>
    </row>
    <row r="153" spans="1:15" s="277" customFormat="1">
      <c r="A153" s="276"/>
      <c r="C153" s="229"/>
      <c r="D153" s="229"/>
      <c r="E153" s="229"/>
      <c r="F153" s="229"/>
      <c r="G153" s="229"/>
      <c r="H153" s="229"/>
      <c r="I153" s="229"/>
      <c r="J153" s="229"/>
      <c r="K153" s="229"/>
      <c r="L153" s="229"/>
      <c r="M153" s="229"/>
      <c r="N153" s="229"/>
      <c r="O153" s="229"/>
    </row>
    <row r="154" spans="1:15" s="277" customFormat="1">
      <c r="A154" s="276"/>
      <c r="C154" s="229"/>
      <c r="D154" s="229"/>
      <c r="E154" s="229"/>
      <c r="F154" s="229"/>
      <c r="G154" s="229"/>
      <c r="H154" s="229"/>
      <c r="I154" s="229"/>
      <c r="J154" s="229"/>
      <c r="K154" s="229"/>
      <c r="L154" s="229"/>
      <c r="M154" s="229"/>
      <c r="N154" s="229"/>
      <c r="O154" s="229"/>
    </row>
    <row r="155" spans="1:15" s="277" customFormat="1">
      <c r="A155" s="276"/>
      <c r="C155" s="229"/>
      <c r="D155" s="229"/>
      <c r="E155" s="229"/>
      <c r="F155" s="229"/>
      <c r="G155" s="229"/>
      <c r="H155" s="229"/>
      <c r="I155" s="229"/>
      <c r="J155" s="229"/>
      <c r="K155" s="229"/>
      <c r="L155" s="229"/>
      <c r="M155" s="229"/>
      <c r="N155" s="229"/>
      <c r="O155" s="229"/>
    </row>
    <row r="156" spans="1:15" s="277" customFormat="1">
      <c r="A156" s="276"/>
      <c r="C156" s="229"/>
      <c r="D156" s="229"/>
      <c r="E156" s="229"/>
      <c r="F156" s="229"/>
      <c r="G156" s="229"/>
      <c r="H156" s="229"/>
      <c r="I156" s="229"/>
      <c r="J156" s="229"/>
      <c r="K156" s="229"/>
      <c r="L156" s="229"/>
      <c r="M156" s="229"/>
      <c r="N156" s="229"/>
      <c r="O156" s="229"/>
    </row>
    <row r="157" spans="1:15" s="277" customFormat="1">
      <c r="A157" s="276"/>
      <c r="C157" s="229"/>
      <c r="D157" s="229"/>
      <c r="E157" s="229"/>
      <c r="F157" s="229"/>
      <c r="G157" s="229"/>
      <c r="H157" s="229"/>
      <c r="I157" s="229"/>
      <c r="J157" s="229"/>
      <c r="K157" s="229"/>
      <c r="L157" s="229"/>
      <c r="M157" s="229"/>
      <c r="N157" s="229"/>
      <c r="O157" s="229"/>
    </row>
    <row r="158" spans="1:15" s="277" customFormat="1">
      <c r="A158" s="276"/>
      <c r="C158" s="229"/>
      <c r="D158" s="229"/>
      <c r="E158" s="229"/>
      <c r="F158" s="229"/>
      <c r="G158" s="229"/>
      <c r="H158" s="229"/>
      <c r="I158" s="229"/>
      <c r="J158" s="229"/>
      <c r="K158" s="229"/>
      <c r="L158" s="229"/>
      <c r="M158" s="229"/>
      <c r="N158" s="229"/>
      <c r="O158" s="229"/>
    </row>
    <row r="159" spans="1:15" s="277" customFormat="1">
      <c r="A159" s="276"/>
      <c r="C159" s="229"/>
      <c r="D159" s="229"/>
      <c r="E159" s="229"/>
      <c r="F159" s="229"/>
      <c r="G159" s="229"/>
      <c r="H159" s="229"/>
      <c r="I159" s="229"/>
      <c r="J159" s="229"/>
      <c r="K159" s="229"/>
      <c r="L159" s="229"/>
      <c r="M159" s="229"/>
      <c r="N159" s="229"/>
      <c r="O159" s="229"/>
    </row>
    <row r="160" spans="1:15" s="277" customFormat="1">
      <c r="A160" s="276"/>
      <c r="C160" s="229"/>
      <c r="D160" s="229"/>
      <c r="E160" s="229"/>
      <c r="F160" s="229"/>
      <c r="G160" s="229"/>
      <c r="H160" s="229"/>
      <c r="I160" s="229"/>
      <c r="J160" s="229"/>
      <c r="K160" s="229"/>
      <c r="L160" s="229"/>
      <c r="M160" s="229"/>
      <c r="N160" s="229"/>
      <c r="O160" s="229"/>
    </row>
    <row r="161" spans="1:15" s="277" customFormat="1">
      <c r="A161" s="276"/>
      <c r="C161" s="229"/>
      <c r="D161" s="229"/>
      <c r="E161" s="229"/>
      <c r="F161" s="229"/>
      <c r="G161" s="229"/>
      <c r="H161" s="229"/>
      <c r="I161" s="229"/>
      <c r="J161" s="229"/>
      <c r="K161" s="229"/>
      <c r="L161" s="229"/>
      <c r="M161" s="229"/>
      <c r="N161" s="229"/>
      <c r="O161" s="229"/>
    </row>
    <row r="162" spans="1:15" s="277" customFormat="1">
      <c r="A162" s="276"/>
      <c r="C162" s="229"/>
      <c r="D162" s="229"/>
      <c r="E162" s="229"/>
      <c r="F162" s="229"/>
      <c r="G162" s="229"/>
      <c r="H162" s="229"/>
      <c r="I162" s="229"/>
      <c r="J162" s="229"/>
      <c r="K162" s="229"/>
      <c r="L162" s="229"/>
      <c r="M162" s="229"/>
      <c r="N162" s="229"/>
      <c r="O162" s="229"/>
    </row>
    <row r="163" spans="1:15" s="277" customFormat="1">
      <c r="A163" s="276"/>
      <c r="C163" s="229"/>
      <c r="D163" s="229"/>
      <c r="E163" s="229"/>
      <c r="F163" s="229"/>
      <c r="G163" s="229"/>
      <c r="H163" s="229"/>
      <c r="I163" s="229"/>
      <c r="J163" s="229"/>
      <c r="K163" s="229"/>
      <c r="L163" s="229"/>
      <c r="M163" s="229"/>
      <c r="N163" s="229"/>
      <c r="O163" s="229"/>
    </row>
    <row r="164" spans="1:15" s="277" customFormat="1">
      <c r="A164" s="276"/>
      <c r="C164" s="229"/>
      <c r="D164" s="229"/>
      <c r="E164" s="229"/>
      <c r="F164" s="229"/>
      <c r="G164" s="229"/>
      <c r="H164" s="229"/>
      <c r="I164" s="229"/>
      <c r="J164" s="229"/>
      <c r="K164" s="229"/>
      <c r="L164" s="229"/>
      <c r="M164" s="229"/>
      <c r="N164" s="229"/>
      <c r="O164" s="229"/>
    </row>
    <row r="165" spans="1:15" s="277" customFormat="1">
      <c r="A165" s="276"/>
      <c r="C165" s="229"/>
      <c r="D165" s="229"/>
      <c r="E165" s="229"/>
      <c r="F165" s="229"/>
      <c r="G165" s="229"/>
      <c r="H165" s="229"/>
      <c r="I165" s="229"/>
      <c r="J165" s="229"/>
      <c r="K165" s="229"/>
      <c r="L165" s="229"/>
      <c r="M165" s="229"/>
      <c r="N165" s="229"/>
      <c r="O165" s="229"/>
    </row>
    <row r="166" spans="1:15" s="277" customFormat="1">
      <c r="A166" s="276"/>
      <c r="C166" s="229"/>
      <c r="D166" s="229"/>
      <c r="E166" s="229"/>
      <c r="F166" s="229"/>
      <c r="G166" s="229"/>
      <c r="H166" s="229"/>
      <c r="I166" s="229"/>
      <c r="J166" s="229"/>
      <c r="K166" s="229"/>
      <c r="L166" s="229"/>
      <c r="M166" s="229"/>
      <c r="N166" s="229"/>
      <c r="O166" s="229"/>
    </row>
    <row r="167" spans="1:15" s="277" customFormat="1">
      <c r="A167" s="276"/>
      <c r="C167" s="229"/>
      <c r="D167" s="229"/>
      <c r="E167" s="229"/>
      <c r="F167" s="229"/>
      <c r="G167" s="229"/>
      <c r="H167" s="229"/>
      <c r="I167" s="229"/>
      <c r="J167" s="229"/>
      <c r="K167" s="229"/>
      <c r="L167" s="229"/>
      <c r="M167" s="229"/>
      <c r="N167" s="229"/>
      <c r="O167" s="229"/>
    </row>
    <row r="168" spans="1:15" s="277" customFormat="1">
      <c r="A168" s="276"/>
      <c r="C168" s="229"/>
      <c r="D168" s="229"/>
      <c r="E168" s="229"/>
      <c r="F168" s="229"/>
      <c r="G168" s="229"/>
      <c r="H168" s="229"/>
      <c r="I168" s="229"/>
      <c r="J168" s="229"/>
      <c r="K168" s="229"/>
      <c r="L168" s="229"/>
      <c r="M168" s="229"/>
      <c r="N168" s="229"/>
      <c r="O168" s="229"/>
    </row>
    <row r="169" spans="1:15" s="277" customFormat="1">
      <c r="A169" s="276"/>
      <c r="C169" s="229"/>
      <c r="D169" s="229"/>
      <c r="E169" s="229"/>
      <c r="F169" s="229"/>
      <c r="G169" s="229"/>
      <c r="H169" s="229"/>
      <c r="I169" s="229"/>
      <c r="J169" s="229"/>
      <c r="K169" s="229"/>
      <c r="L169" s="229"/>
      <c r="M169" s="229"/>
      <c r="N169" s="229"/>
      <c r="O169" s="229"/>
    </row>
    <row r="170" spans="1:15" s="277" customFormat="1">
      <c r="A170" s="276"/>
      <c r="C170" s="229"/>
      <c r="D170" s="229"/>
      <c r="E170" s="229"/>
      <c r="F170" s="229"/>
      <c r="G170" s="229"/>
      <c r="H170" s="229"/>
      <c r="I170" s="229"/>
      <c r="J170" s="229"/>
      <c r="K170" s="229"/>
      <c r="L170" s="229"/>
      <c r="M170" s="229"/>
      <c r="N170" s="229"/>
      <c r="O170" s="229"/>
    </row>
    <row r="171" spans="1:15" s="277" customFormat="1">
      <c r="A171" s="276"/>
      <c r="C171" s="229"/>
      <c r="D171" s="229"/>
      <c r="E171" s="229"/>
      <c r="F171" s="229"/>
      <c r="G171" s="229"/>
      <c r="H171" s="229"/>
      <c r="I171" s="229"/>
      <c r="J171" s="229"/>
      <c r="K171" s="229"/>
      <c r="L171" s="229"/>
      <c r="M171" s="229"/>
      <c r="N171" s="229"/>
      <c r="O171" s="229"/>
    </row>
    <row r="172" spans="1:15" s="277" customFormat="1">
      <c r="A172" s="276"/>
      <c r="C172" s="229"/>
      <c r="D172" s="229"/>
      <c r="E172" s="229"/>
      <c r="F172" s="229"/>
      <c r="G172" s="229"/>
      <c r="H172" s="229"/>
      <c r="I172" s="229"/>
      <c r="J172" s="229"/>
      <c r="K172" s="229"/>
      <c r="L172" s="229"/>
      <c r="M172" s="229"/>
      <c r="N172" s="229"/>
      <c r="O172" s="229"/>
    </row>
    <row r="173" spans="1:15" s="277" customFormat="1">
      <c r="A173" s="276"/>
      <c r="C173" s="229"/>
      <c r="D173" s="229"/>
      <c r="E173" s="229"/>
      <c r="F173" s="229"/>
      <c r="G173" s="229"/>
      <c r="H173" s="229"/>
      <c r="I173" s="229"/>
      <c r="J173" s="229"/>
      <c r="K173" s="229"/>
      <c r="L173" s="229"/>
      <c r="M173" s="229"/>
      <c r="N173" s="229"/>
      <c r="O173" s="229"/>
    </row>
    <row r="174" spans="1:15" s="277" customFormat="1">
      <c r="A174" s="276"/>
      <c r="C174" s="229"/>
      <c r="D174" s="229"/>
      <c r="E174" s="229"/>
      <c r="F174" s="229"/>
      <c r="G174" s="229"/>
      <c r="H174" s="229"/>
      <c r="I174" s="229"/>
      <c r="J174" s="229"/>
      <c r="K174" s="229"/>
      <c r="L174" s="229"/>
      <c r="M174" s="229"/>
      <c r="N174" s="229"/>
      <c r="O174" s="229"/>
    </row>
    <row r="175" spans="1:15" s="277" customFormat="1">
      <c r="A175" s="276"/>
      <c r="C175" s="229"/>
      <c r="D175" s="229"/>
      <c r="E175" s="229"/>
      <c r="F175" s="229"/>
      <c r="G175" s="229"/>
      <c r="H175" s="229"/>
      <c r="I175" s="229"/>
      <c r="J175" s="229"/>
      <c r="K175" s="229"/>
      <c r="L175" s="229"/>
      <c r="M175" s="229"/>
      <c r="N175" s="229"/>
      <c r="O175" s="229"/>
    </row>
    <row r="176" spans="1:15" s="277" customFormat="1">
      <c r="A176" s="276"/>
      <c r="C176" s="229"/>
      <c r="D176" s="229"/>
      <c r="E176" s="229"/>
      <c r="F176" s="229"/>
      <c r="G176" s="229"/>
      <c r="H176" s="229"/>
      <c r="I176" s="229"/>
      <c r="J176" s="229"/>
      <c r="K176" s="229"/>
      <c r="L176" s="229"/>
      <c r="M176" s="229"/>
      <c r="N176" s="229"/>
      <c r="O176" s="229"/>
    </row>
    <row r="177" spans="1:15" s="277" customFormat="1">
      <c r="A177" s="276"/>
      <c r="C177" s="229"/>
      <c r="D177" s="229"/>
      <c r="E177" s="229"/>
      <c r="F177" s="229"/>
      <c r="G177" s="229"/>
      <c r="H177" s="229"/>
      <c r="I177" s="229"/>
      <c r="J177" s="229"/>
      <c r="K177" s="229"/>
      <c r="L177" s="229"/>
      <c r="M177" s="229"/>
      <c r="N177" s="229"/>
      <c r="O177" s="229"/>
    </row>
    <row r="178" spans="1:15" s="277" customFormat="1">
      <c r="A178" s="276"/>
      <c r="C178" s="229"/>
      <c r="D178" s="229"/>
      <c r="E178" s="229"/>
      <c r="F178" s="229"/>
      <c r="G178" s="229"/>
      <c r="H178" s="229"/>
      <c r="I178" s="229"/>
      <c r="J178" s="229"/>
      <c r="K178" s="229"/>
      <c r="L178" s="229"/>
      <c r="M178" s="229"/>
      <c r="N178" s="229"/>
      <c r="O178" s="229"/>
    </row>
    <row r="179" spans="1:15" s="277" customFormat="1">
      <c r="A179" s="276"/>
      <c r="C179" s="229"/>
      <c r="D179" s="229"/>
      <c r="E179" s="229"/>
      <c r="F179" s="229"/>
      <c r="G179" s="229"/>
      <c r="H179" s="229"/>
      <c r="I179" s="229"/>
      <c r="J179" s="229"/>
      <c r="K179" s="229"/>
      <c r="L179" s="229"/>
      <c r="M179" s="229"/>
      <c r="N179" s="229"/>
      <c r="O179" s="229"/>
    </row>
    <row r="180" spans="1:15" s="277" customFormat="1">
      <c r="A180" s="276"/>
      <c r="C180" s="229"/>
      <c r="D180" s="229"/>
      <c r="E180" s="229"/>
      <c r="F180" s="229"/>
      <c r="G180" s="229"/>
      <c r="H180" s="229"/>
      <c r="I180" s="229"/>
      <c r="J180" s="229"/>
      <c r="K180" s="229"/>
      <c r="L180" s="229"/>
      <c r="M180" s="229"/>
      <c r="N180" s="229"/>
      <c r="O180" s="229"/>
    </row>
    <row r="181" spans="1:15" s="277" customFormat="1">
      <c r="A181" s="276"/>
      <c r="C181" s="229"/>
      <c r="D181" s="229"/>
      <c r="E181" s="229"/>
      <c r="F181" s="229"/>
      <c r="G181" s="229"/>
      <c r="H181" s="229"/>
      <c r="I181" s="229"/>
      <c r="J181" s="229"/>
      <c r="K181" s="229"/>
      <c r="L181" s="229"/>
      <c r="M181" s="229"/>
      <c r="N181" s="229"/>
      <c r="O181" s="229"/>
    </row>
    <row r="182" spans="1:15" s="277" customFormat="1">
      <c r="A182" s="276"/>
      <c r="C182" s="229"/>
      <c r="D182" s="229"/>
      <c r="E182" s="229"/>
      <c r="F182" s="229"/>
      <c r="G182" s="229"/>
      <c r="H182" s="229"/>
      <c r="I182" s="229"/>
      <c r="J182" s="229"/>
      <c r="K182" s="229"/>
      <c r="L182" s="229"/>
      <c r="M182" s="229"/>
      <c r="N182" s="229"/>
      <c r="O182" s="229"/>
    </row>
    <row r="183" spans="1:15" s="277" customFormat="1">
      <c r="A183" s="276"/>
      <c r="C183" s="229"/>
      <c r="D183" s="229"/>
      <c r="E183" s="229"/>
      <c r="F183" s="229"/>
      <c r="G183" s="229"/>
      <c r="H183" s="229"/>
      <c r="I183" s="229"/>
      <c r="J183" s="229"/>
      <c r="K183" s="229"/>
      <c r="L183" s="229"/>
      <c r="M183" s="229"/>
      <c r="N183" s="229"/>
      <c r="O183" s="229"/>
    </row>
    <row r="184" spans="1:15" s="277" customFormat="1">
      <c r="A184" s="276"/>
      <c r="C184" s="229"/>
      <c r="D184" s="229"/>
      <c r="E184" s="229"/>
      <c r="F184" s="229"/>
      <c r="G184" s="229"/>
      <c r="H184" s="229"/>
      <c r="I184" s="229"/>
      <c r="J184" s="229"/>
      <c r="K184" s="229"/>
      <c r="L184" s="229"/>
      <c r="M184" s="229"/>
      <c r="N184" s="229"/>
      <c r="O184" s="229"/>
    </row>
    <row r="185" spans="1:15" s="277" customFormat="1">
      <c r="A185" s="276"/>
      <c r="C185" s="229"/>
      <c r="D185" s="229"/>
      <c r="E185" s="229"/>
      <c r="F185" s="229"/>
      <c r="G185" s="229"/>
      <c r="H185" s="229"/>
      <c r="I185" s="229"/>
      <c r="J185" s="229"/>
      <c r="K185" s="229"/>
      <c r="L185" s="229"/>
      <c r="M185" s="229"/>
      <c r="N185" s="229"/>
      <c r="O185" s="229"/>
    </row>
    <row r="186" spans="1:15" s="277" customFormat="1">
      <c r="A186" s="276"/>
      <c r="C186" s="229"/>
      <c r="D186" s="229"/>
      <c r="E186" s="229"/>
      <c r="F186" s="229"/>
      <c r="G186" s="229"/>
      <c r="H186" s="229"/>
      <c r="I186" s="229"/>
      <c r="J186" s="229"/>
      <c r="K186" s="229"/>
      <c r="L186" s="229"/>
      <c r="M186" s="229"/>
      <c r="N186" s="229"/>
      <c r="O186" s="229"/>
    </row>
    <row r="187" spans="1:15" s="277" customFormat="1">
      <c r="A187" s="276"/>
      <c r="C187" s="229"/>
      <c r="D187" s="229"/>
      <c r="E187" s="229"/>
      <c r="F187" s="229"/>
      <c r="G187" s="229"/>
      <c r="H187" s="229"/>
      <c r="I187" s="229"/>
      <c r="J187" s="229"/>
      <c r="K187" s="229"/>
      <c r="L187" s="229"/>
      <c r="M187" s="229"/>
      <c r="N187" s="229"/>
      <c r="O187" s="229"/>
    </row>
    <row r="188" spans="1:15" s="277" customFormat="1">
      <c r="A188" s="276"/>
      <c r="C188" s="229"/>
      <c r="D188" s="229"/>
      <c r="E188" s="229"/>
      <c r="F188" s="229"/>
      <c r="G188" s="229"/>
      <c r="H188" s="229"/>
      <c r="I188" s="229"/>
      <c r="J188" s="229"/>
      <c r="K188" s="229"/>
      <c r="L188" s="229"/>
      <c r="M188" s="229"/>
      <c r="N188" s="229"/>
      <c r="O188" s="229"/>
    </row>
    <row r="189" spans="1:15" s="277" customFormat="1">
      <c r="A189" s="276"/>
      <c r="C189" s="229"/>
      <c r="D189" s="229"/>
      <c r="E189" s="229"/>
      <c r="F189" s="229"/>
      <c r="G189" s="229"/>
      <c r="H189" s="229"/>
      <c r="I189" s="229"/>
      <c r="J189" s="229"/>
      <c r="K189" s="229"/>
      <c r="L189" s="229"/>
      <c r="M189" s="229"/>
      <c r="N189" s="229"/>
      <c r="O189" s="229"/>
    </row>
    <row r="190" spans="1:15" s="277" customFormat="1">
      <c r="A190" s="276"/>
      <c r="C190" s="229"/>
      <c r="D190" s="229"/>
      <c r="E190" s="229"/>
      <c r="F190" s="229"/>
      <c r="G190" s="229"/>
      <c r="H190" s="229"/>
      <c r="I190" s="229"/>
      <c r="J190" s="229"/>
      <c r="K190" s="229"/>
      <c r="L190" s="229"/>
      <c r="M190" s="229"/>
      <c r="N190" s="229"/>
      <c r="O190" s="229"/>
    </row>
    <row r="191" spans="1:15" s="277" customFormat="1">
      <c r="A191" s="276"/>
      <c r="C191" s="229"/>
      <c r="D191" s="229"/>
      <c r="E191" s="229"/>
      <c r="F191" s="229"/>
      <c r="G191" s="229"/>
      <c r="H191" s="229"/>
      <c r="I191" s="229"/>
      <c r="J191" s="229"/>
      <c r="K191" s="229"/>
      <c r="L191" s="229"/>
      <c r="M191" s="229"/>
      <c r="N191" s="229"/>
      <c r="O191" s="229"/>
    </row>
    <row r="192" spans="1:15" s="277" customFormat="1">
      <c r="A192" s="276"/>
      <c r="C192" s="229"/>
      <c r="D192" s="229"/>
      <c r="E192" s="229"/>
      <c r="F192" s="229"/>
      <c r="G192" s="229"/>
      <c r="H192" s="229"/>
      <c r="I192" s="229"/>
      <c r="J192" s="229"/>
      <c r="K192" s="229"/>
      <c r="L192" s="229"/>
      <c r="M192" s="229"/>
      <c r="N192" s="229"/>
      <c r="O192" s="229"/>
    </row>
    <row r="193" spans="1:15" s="277" customFormat="1">
      <c r="A193" s="276"/>
      <c r="C193" s="229"/>
      <c r="D193" s="229"/>
      <c r="E193" s="229"/>
      <c r="F193" s="229"/>
      <c r="G193" s="229"/>
      <c r="H193" s="229"/>
      <c r="I193" s="229"/>
      <c r="J193" s="229"/>
      <c r="K193" s="229"/>
      <c r="L193" s="229"/>
      <c r="M193" s="229"/>
      <c r="N193" s="229"/>
      <c r="O193" s="229"/>
    </row>
    <row r="194" spans="1:15" s="277" customFormat="1">
      <c r="A194" s="276"/>
      <c r="C194" s="229"/>
      <c r="D194" s="229"/>
      <c r="E194" s="229"/>
      <c r="F194" s="229"/>
      <c r="G194" s="229"/>
      <c r="H194" s="229"/>
      <c r="I194" s="229"/>
      <c r="J194" s="229"/>
      <c r="K194" s="229"/>
      <c r="L194" s="229"/>
      <c r="M194" s="229"/>
      <c r="N194" s="229"/>
      <c r="O194" s="229"/>
    </row>
    <row r="195" spans="1:15" s="277" customFormat="1">
      <c r="A195" s="276"/>
      <c r="C195" s="229"/>
      <c r="D195" s="229"/>
      <c r="E195" s="229"/>
      <c r="F195" s="229"/>
      <c r="G195" s="229"/>
      <c r="H195" s="229"/>
      <c r="I195" s="229"/>
      <c r="J195" s="229"/>
      <c r="K195" s="229"/>
      <c r="L195" s="229"/>
      <c r="M195" s="229"/>
      <c r="N195" s="229"/>
      <c r="O195" s="229"/>
    </row>
    <row r="196" spans="1:15" s="277" customFormat="1">
      <c r="A196" s="276"/>
      <c r="C196" s="229"/>
      <c r="D196" s="229"/>
      <c r="E196" s="229"/>
      <c r="F196" s="229"/>
      <c r="G196" s="229"/>
      <c r="H196" s="229"/>
      <c r="I196" s="229"/>
      <c r="J196" s="229"/>
      <c r="K196" s="229"/>
      <c r="L196" s="229"/>
      <c r="M196" s="229"/>
      <c r="N196" s="229"/>
      <c r="O196" s="229"/>
    </row>
    <row r="197" spans="1:15" s="277" customFormat="1">
      <c r="A197" s="276"/>
      <c r="C197" s="229"/>
      <c r="D197" s="229"/>
      <c r="E197" s="229"/>
      <c r="F197" s="229"/>
      <c r="G197" s="229"/>
      <c r="H197" s="229"/>
      <c r="I197" s="229"/>
      <c r="J197" s="229"/>
      <c r="K197" s="229"/>
      <c r="L197" s="229"/>
      <c r="M197" s="229"/>
      <c r="N197" s="229"/>
      <c r="O197" s="229"/>
    </row>
    <row r="198" spans="1:15" s="277" customFormat="1">
      <c r="A198" s="276"/>
      <c r="C198" s="229"/>
      <c r="D198" s="229"/>
      <c r="E198" s="229"/>
      <c r="F198" s="229"/>
      <c r="G198" s="229"/>
      <c r="H198" s="229"/>
      <c r="I198" s="229"/>
      <c r="J198" s="229"/>
      <c r="K198" s="229"/>
      <c r="L198" s="229"/>
      <c r="M198" s="229"/>
      <c r="N198" s="229"/>
      <c r="O198" s="229"/>
    </row>
    <row r="199" spans="1:15" s="277" customFormat="1">
      <c r="A199" s="276"/>
      <c r="C199" s="229"/>
      <c r="D199" s="229"/>
      <c r="E199" s="229"/>
      <c r="F199" s="229"/>
      <c r="G199" s="229"/>
      <c r="H199" s="229"/>
      <c r="I199" s="229"/>
      <c r="J199" s="229"/>
      <c r="K199" s="229"/>
      <c r="L199" s="229"/>
      <c r="M199" s="229"/>
      <c r="N199" s="229"/>
      <c r="O199" s="229"/>
    </row>
    <row r="200" spans="1:15" s="277" customFormat="1">
      <c r="A200" s="276"/>
      <c r="C200" s="229"/>
      <c r="D200" s="229"/>
      <c r="E200" s="229"/>
      <c r="F200" s="229"/>
      <c r="G200" s="229"/>
      <c r="H200" s="229"/>
      <c r="I200" s="229"/>
      <c r="J200" s="229"/>
      <c r="K200" s="229"/>
      <c r="L200" s="229"/>
      <c r="M200" s="229"/>
      <c r="N200" s="229"/>
      <c r="O200" s="229"/>
    </row>
    <row r="201" spans="1:15" s="277" customFormat="1">
      <c r="A201" s="276"/>
      <c r="C201" s="229"/>
      <c r="D201" s="229"/>
      <c r="E201" s="229"/>
      <c r="F201" s="229"/>
      <c r="G201" s="229"/>
      <c r="H201" s="229"/>
      <c r="I201" s="229"/>
      <c r="J201" s="229"/>
      <c r="K201" s="229"/>
      <c r="L201" s="229"/>
      <c r="M201" s="229"/>
      <c r="N201" s="229"/>
      <c r="O201" s="229"/>
    </row>
    <row r="202" spans="1:15" s="277" customFormat="1">
      <c r="A202" s="276"/>
      <c r="C202" s="229"/>
      <c r="D202" s="229"/>
      <c r="E202" s="229"/>
      <c r="F202" s="229"/>
      <c r="G202" s="229"/>
      <c r="H202" s="229"/>
      <c r="I202" s="229"/>
      <c r="J202" s="229"/>
      <c r="K202" s="229"/>
      <c r="L202" s="229"/>
      <c r="M202" s="229"/>
      <c r="N202" s="229"/>
      <c r="O202" s="229"/>
    </row>
    <row r="203" spans="1:15" s="277" customFormat="1">
      <c r="A203" s="276"/>
      <c r="C203" s="229"/>
      <c r="D203" s="229"/>
      <c r="E203" s="229"/>
      <c r="F203" s="229"/>
      <c r="G203" s="229"/>
      <c r="H203" s="229"/>
      <c r="I203" s="229"/>
      <c r="J203" s="229"/>
      <c r="K203" s="229"/>
      <c r="L203" s="229"/>
      <c r="M203" s="229"/>
      <c r="N203" s="229"/>
      <c r="O203" s="229"/>
    </row>
    <row r="204" spans="1:15" s="277" customFormat="1">
      <c r="A204" s="276"/>
      <c r="C204" s="229"/>
      <c r="D204" s="229"/>
      <c r="E204" s="229"/>
      <c r="F204" s="229"/>
      <c r="G204" s="229"/>
      <c r="H204" s="229"/>
      <c r="I204" s="229"/>
      <c r="J204" s="229"/>
      <c r="K204" s="229"/>
      <c r="L204" s="229"/>
      <c r="M204" s="229"/>
      <c r="N204" s="229"/>
      <c r="O204" s="229"/>
    </row>
    <row r="205" spans="1:15" s="277" customFormat="1">
      <c r="A205" s="276"/>
      <c r="C205" s="229"/>
      <c r="D205" s="229"/>
      <c r="E205" s="229"/>
      <c r="F205" s="229"/>
      <c r="G205" s="229"/>
      <c r="H205" s="229"/>
      <c r="I205" s="229"/>
      <c r="J205" s="229"/>
      <c r="K205" s="229"/>
      <c r="L205" s="229"/>
      <c r="M205" s="229"/>
      <c r="N205" s="229"/>
      <c r="O205" s="229"/>
    </row>
    <row r="206" spans="1:15" s="277" customFormat="1">
      <c r="A206" s="276"/>
      <c r="C206" s="229"/>
      <c r="D206" s="229"/>
      <c r="E206" s="229"/>
      <c r="F206" s="229"/>
      <c r="G206" s="229"/>
      <c r="H206" s="229"/>
      <c r="I206" s="229"/>
      <c r="J206" s="229"/>
      <c r="K206" s="229"/>
      <c r="L206" s="229"/>
      <c r="M206" s="229"/>
      <c r="N206" s="229"/>
      <c r="O206" s="229"/>
    </row>
    <row r="207" spans="1:15" s="277" customFormat="1">
      <c r="A207" s="276"/>
      <c r="C207" s="229"/>
      <c r="D207" s="229"/>
      <c r="E207" s="229"/>
      <c r="F207" s="229"/>
      <c r="G207" s="229"/>
      <c r="H207" s="229"/>
      <c r="I207" s="229"/>
      <c r="J207" s="229"/>
      <c r="K207" s="229"/>
      <c r="L207" s="229"/>
      <c r="M207" s="229"/>
      <c r="N207" s="229"/>
      <c r="O207" s="229"/>
    </row>
    <row r="208" spans="1:15" s="277" customFormat="1">
      <c r="A208" s="276"/>
      <c r="C208" s="229"/>
      <c r="D208" s="229"/>
      <c r="E208" s="229"/>
      <c r="F208" s="229"/>
      <c r="G208" s="229"/>
      <c r="H208" s="229"/>
      <c r="I208" s="229"/>
      <c r="J208" s="229"/>
      <c r="K208" s="229"/>
      <c r="L208" s="229"/>
      <c r="M208" s="229"/>
      <c r="N208" s="229"/>
      <c r="O208" s="229"/>
    </row>
    <row r="209" spans="1:15" s="277" customFormat="1">
      <c r="A209" s="276"/>
      <c r="C209" s="229"/>
      <c r="D209" s="229"/>
      <c r="E209" s="229"/>
      <c r="F209" s="229"/>
      <c r="G209" s="229"/>
      <c r="H209" s="229"/>
      <c r="I209" s="229"/>
      <c r="J209" s="229"/>
      <c r="K209" s="229"/>
      <c r="L209" s="229"/>
      <c r="M209" s="229"/>
      <c r="N209" s="229"/>
      <c r="O209" s="229"/>
    </row>
    <row r="210" spans="1:15" s="277" customFormat="1">
      <c r="A210" s="276"/>
      <c r="C210" s="229"/>
      <c r="D210" s="229"/>
      <c r="E210" s="229"/>
      <c r="F210" s="229"/>
      <c r="G210" s="229"/>
      <c r="H210" s="229"/>
      <c r="I210" s="229"/>
      <c r="J210" s="229"/>
      <c r="K210" s="229"/>
      <c r="L210" s="229"/>
      <c r="M210" s="229"/>
      <c r="N210" s="229"/>
      <c r="O210" s="229"/>
    </row>
    <row r="211" spans="1:15" s="277" customFormat="1">
      <c r="A211" s="276"/>
      <c r="C211" s="229"/>
      <c r="D211" s="229"/>
      <c r="E211" s="229"/>
      <c r="F211" s="229"/>
      <c r="G211" s="229"/>
      <c r="H211" s="229"/>
      <c r="I211" s="229"/>
      <c r="J211" s="229"/>
      <c r="K211" s="229"/>
      <c r="L211" s="229"/>
      <c r="M211" s="229"/>
      <c r="N211" s="229"/>
      <c r="O211" s="229"/>
    </row>
    <row r="212" spans="1:15" s="277" customFormat="1">
      <c r="A212" s="276"/>
      <c r="C212" s="229"/>
      <c r="D212" s="229"/>
      <c r="E212" s="229"/>
      <c r="F212" s="229"/>
      <c r="G212" s="229"/>
      <c r="H212" s="229"/>
      <c r="I212" s="229"/>
      <c r="J212" s="229"/>
      <c r="K212" s="229"/>
      <c r="L212" s="229"/>
      <c r="M212" s="229"/>
      <c r="N212" s="229"/>
      <c r="O212" s="229"/>
    </row>
    <row r="213" spans="1:15" s="277" customFormat="1">
      <c r="A213" s="276"/>
      <c r="C213" s="229"/>
      <c r="D213" s="229"/>
      <c r="E213" s="229"/>
      <c r="F213" s="229"/>
      <c r="G213" s="229"/>
      <c r="H213" s="229"/>
      <c r="I213" s="229"/>
      <c r="J213" s="229"/>
      <c r="K213" s="229"/>
      <c r="L213" s="229"/>
      <c r="M213" s="229"/>
      <c r="N213" s="229"/>
      <c r="O213" s="229"/>
    </row>
    <row r="214" spans="1:15" s="277" customFormat="1">
      <c r="A214" s="276"/>
      <c r="C214" s="229"/>
      <c r="D214" s="229"/>
      <c r="E214" s="229"/>
      <c r="F214" s="229"/>
      <c r="G214" s="229"/>
      <c r="H214" s="229"/>
      <c r="I214" s="229"/>
      <c r="J214" s="229"/>
      <c r="K214" s="229"/>
      <c r="L214" s="229"/>
      <c r="M214" s="229"/>
      <c r="N214" s="229"/>
      <c r="O214" s="229"/>
    </row>
    <row r="215" spans="1:15" s="277" customFormat="1">
      <c r="A215" s="276"/>
      <c r="C215" s="229"/>
      <c r="D215" s="229"/>
      <c r="E215" s="229"/>
      <c r="F215" s="229"/>
      <c r="G215" s="229"/>
      <c r="H215" s="229"/>
      <c r="I215" s="229"/>
      <c r="J215" s="229"/>
      <c r="K215" s="229"/>
      <c r="L215" s="229"/>
      <c r="M215" s="229"/>
      <c r="N215" s="229"/>
      <c r="O215" s="229"/>
    </row>
    <row r="216" spans="1:15" s="277" customFormat="1">
      <c r="A216" s="276"/>
      <c r="C216" s="229"/>
      <c r="D216" s="229"/>
      <c r="E216" s="229"/>
      <c r="F216" s="229"/>
      <c r="G216" s="229"/>
      <c r="H216" s="229"/>
      <c r="I216" s="229"/>
      <c r="J216" s="229"/>
      <c r="K216" s="229"/>
      <c r="L216" s="229"/>
      <c r="M216" s="229"/>
      <c r="N216" s="229"/>
      <c r="O216" s="229"/>
    </row>
    <row r="217" spans="1:15" s="277" customFormat="1">
      <c r="A217" s="276"/>
      <c r="C217" s="229"/>
      <c r="D217" s="229"/>
      <c r="E217" s="229"/>
      <c r="F217" s="229"/>
      <c r="G217" s="229"/>
      <c r="H217" s="229"/>
      <c r="I217" s="229"/>
      <c r="J217" s="229"/>
      <c r="K217" s="229"/>
      <c r="L217" s="229"/>
      <c r="M217" s="229"/>
      <c r="N217" s="229"/>
      <c r="O217" s="229"/>
    </row>
    <row r="218" spans="1:15" s="277" customFormat="1">
      <c r="A218" s="276"/>
      <c r="C218" s="229"/>
      <c r="D218" s="229"/>
      <c r="E218" s="229"/>
      <c r="F218" s="229"/>
      <c r="G218" s="229"/>
      <c r="H218" s="229"/>
      <c r="I218" s="229"/>
      <c r="J218" s="229"/>
      <c r="K218" s="229"/>
      <c r="L218" s="229"/>
      <c r="M218" s="229"/>
      <c r="N218" s="229"/>
      <c r="O218" s="229"/>
    </row>
    <row r="219" spans="1:15" s="277" customFormat="1">
      <c r="A219" s="276"/>
      <c r="C219" s="229"/>
      <c r="D219" s="229"/>
      <c r="E219" s="229"/>
      <c r="F219" s="229"/>
      <c r="G219" s="229"/>
      <c r="H219" s="229"/>
      <c r="I219" s="229"/>
      <c r="J219" s="229"/>
      <c r="K219" s="229"/>
      <c r="L219" s="229"/>
      <c r="M219" s="229"/>
      <c r="N219" s="229"/>
      <c r="O219" s="229"/>
    </row>
    <row r="220" spans="1:15" s="277" customFormat="1">
      <c r="A220" s="276"/>
      <c r="C220" s="229"/>
      <c r="D220" s="229"/>
      <c r="E220" s="229"/>
      <c r="F220" s="229"/>
      <c r="G220" s="229"/>
      <c r="H220" s="229"/>
      <c r="I220" s="229"/>
      <c r="J220" s="229"/>
      <c r="K220" s="229"/>
      <c r="L220" s="229"/>
      <c r="M220" s="229"/>
      <c r="N220" s="229"/>
      <c r="O220" s="229"/>
    </row>
    <row r="221" spans="1:15" s="277" customFormat="1">
      <c r="A221" s="276"/>
      <c r="C221" s="229"/>
      <c r="D221" s="229"/>
      <c r="E221" s="229"/>
      <c r="F221" s="229"/>
      <c r="G221" s="229"/>
      <c r="H221" s="229"/>
      <c r="I221" s="229"/>
      <c r="J221" s="229"/>
      <c r="K221" s="229"/>
      <c r="L221" s="229"/>
      <c r="M221" s="229"/>
      <c r="N221" s="229"/>
      <c r="O221" s="229"/>
    </row>
    <row r="222" spans="1:15" s="277" customFormat="1">
      <c r="A222" s="276"/>
      <c r="C222" s="229"/>
      <c r="D222" s="229"/>
      <c r="E222" s="229"/>
      <c r="F222" s="229"/>
      <c r="G222" s="229"/>
      <c r="H222" s="229"/>
      <c r="I222" s="229"/>
      <c r="J222" s="229"/>
      <c r="K222" s="229"/>
      <c r="L222" s="229"/>
      <c r="M222" s="229"/>
      <c r="N222" s="229"/>
      <c r="O222" s="229"/>
    </row>
    <row r="223" spans="1:15" s="277" customFormat="1">
      <c r="A223" s="276"/>
      <c r="C223" s="229"/>
      <c r="D223" s="229"/>
      <c r="E223" s="229"/>
      <c r="F223" s="229"/>
      <c r="G223" s="229"/>
      <c r="H223" s="229"/>
      <c r="I223" s="229"/>
      <c r="J223" s="229"/>
      <c r="K223" s="229"/>
      <c r="L223" s="229"/>
      <c r="M223" s="229"/>
      <c r="N223" s="229"/>
      <c r="O223" s="229"/>
    </row>
    <row r="224" spans="1:15" s="277" customFormat="1">
      <c r="A224" s="276"/>
      <c r="C224" s="229"/>
      <c r="D224" s="229"/>
      <c r="E224" s="229"/>
      <c r="F224" s="229"/>
      <c r="G224" s="229"/>
      <c r="H224" s="229"/>
      <c r="I224" s="229"/>
      <c r="J224" s="229"/>
      <c r="K224" s="229"/>
      <c r="L224" s="229"/>
      <c r="M224" s="229"/>
      <c r="N224" s="229"/>
      <c r="O224" s="229"/>
    </row>
    <row r="225" spans="1:15" s="277" customFormat="1">
      <c r="A225" s="276"/>
      <c r="C225" s="229"/>
      <c r="D225" s="229"/>
      <c r="E225" s="229"/>
      <c r="F225" s="229"/>
      <c r="G225" s="229"/>
      <c r="H225" s="229"/>
      <c r="I225" s="229"/>
      <c r="J225" s="229"/>
      <c r="K225" s="229"/>
      <c r="L225" s="229"/>
      <c r="M225" s="229"/>
      <c r="N225" s="229"/>
      <c r="O225" s="229"/>
    </row>
    <row r="226" spans="1:15" s="277" customFormat="1">
      <c r="A226" s="276"/>
      <c r="C226" s="229"/>
      <c r="D226" s="229"/>
      <c r="E226" s="229"/>
      <c r="F226" s="229"/>
      <c r="G226" s="229"/>
      <c r="H226" s="229"/>
      <c r="I226" s="229"/>
      <c r="J226" s="229"/>
      <c r="K226" s="229"/>
      <c r="L226" s="229"/>
      <c r="M226" s="229"/>
      <c r="N226" s="229"/>
      <c r="O226" s="229"/>
    </row>
    <row r="227" spans="1:15" s="277" customFormat="1">
      <c r="A227" s="276"/>
      <c r="C227" s="229"/>
      <c r="D227" s="229"/>
      <c r="E227" s="229"/>
      <c r="F227" s="229"/>
      <c r="G227" s="229"/>
      <c r="H227" s="229"/>
      <c r="I227" s="229"/>
      <c r="J227" s="229"/>
      <c r="K227" s="229"/>
      <c r="L227" s="229"/>
      <c r="M227" s="229"/>
      <c r="N227" s="229"/>
      <c r="O227" s="229"/>
    </row>
    <row r="228" spans="1:15" s="277" customFormat="1">
      <c r="A228" s="276"/>
      <c r="C228" s="229"/>
      <c r="D228" s="229"/>
      <c r="E228" s="229"/>
      <c r="F228" s="229"/>
      <c r="G228" s="229"/>
      <c r="H228" s="229"/>
      <c r="I228" s="229"/>
      <c r="J228" s="229"/>
      <c r="K228" s="229"/>
      <c r="L228" s="229"/>
      <c r="M228" s="229"/>
      <c r="N228" s="229"/>
      <c r="O228" s="229"/>
    </row>
    <row r="229" spans="1:15" s="277" customFormat="1">
      <c r="A229" s="276"/>
      <c r="C229" s="229"/>
      <c r="D229" s="229"/>
      <c r="E229" s="229"/>
      <c r="F229" s="229"/>
      <c r="G229" s="229"/>
      <c r="H229" s="229"/>
      <c r="I229" s="229"/>
      <c r="J229" s="229"/>
      <c r="K229" s="229"/>
      <c r="L229" s="229"/>
      <c r="M229" s="229"/>
      <c r="N229" s="229"/>
      <c r="O229" s="229"/>
    </row>
    <row r="230" spans="1:15" s="277" customFormat="1">
      <c r="A230" s="276"/>
      <c r="C230" s="229"/>
      <c r="D230" s="229"/>
      <c r="E230" s="229"/>
      <c r="F230" s="229"/>
      <c r="G230" s="229"/>
      <c r="H230" s="229"/>
      <c r="I230" s="229"/>
      <c r="J230" s="229"/>
      <c r="K230" s="229"/>
      <c r="L230" s="229"/>
      <c r="M230" s="229"/>
      <c r="N230" s="229"/>
      <c r="O230" s="229"/>
    </row>
    <row r="231" spans="1:15" s="277" customFormat="1">
      <c r="A231" s="276"/>
      <c r="C231" s="229"/>
      <c r="D231" s="229"/>
      <c r="E231" s="229"/>
      <c r="F231" s="229"/>
      <c r="G231" s="229"/>
      <c r="H231" s="229"/>
      <c r="I231" s="229"/>
      <c r="J231" s="229"/>
      <c r="K231" s="229"/>
      <c r="L231" s="229"/>
      <c r="M231" s="229"/>
      <c r="N231" s="229"/>
      <c r="O231" s="229"/>
    </row>
    <row r="232" spans="1:15" s="277" customFormat="1">
      <c r="A232" s="276"/>
      <c r="C232" s="229"/>
      <c r="D232" s="229"/>
      <c r="E232" s="229"/>
      <c r="F232" s="229"/>
      <c r="G232" s="229"/>
      <c r="H232" s="229"/>
      <c r="I232" s="229"/>
      <c r="J232" s="229"/>
      <c r="K232" s="229"/>
      <c r="L232" s="229"/>
      <c r="M232" s="229"/>
      <c r="N232" s="229"/>
      <c r="O232" s="229"/>
    </row>
    <row r="233" spans="1:15" s="277" customFormat="1">
      <c r="A233" s="276"/>
      <c r="C233" s="229"/>
      <c r="D233" s="229"/>
      <c r="E233" s="229"/>
      <c r="F233" s="229"/>
      <c r="G233" s="229"/>
      <c r="H233" s="229"/>
      <c r="I233" s="229"/>
      <c r="J233" s="229"/>
      <c r="K233" s="229"/>
      <c r="L233" s="229"/>
      <c r="M233" s="229"/>
      <c r="N233" s="229"/>
      <c r="O233" s="229"/>
    </row>
    <row r="234" spans="1:15" s="277" customFormat="1">
      <c r="A234" s="276"/>
      <c r="C234" s="229"/>
      <c r="D234" s="229"/>
      <c r="E234" s="229"/>
      <c r="F234" s="229"/>
      <c r="G234" s="229"/>
      <c r="H234" s="229"/>
      <c r="I234" s="229"/>
      <c r="J234" s="229"/>
      <c r="K234" s="229"/>
      <c r="L234" s="229"/>
      <c r="M234" s="229"/>
      <c r="N234" s="229"/>
      <c r="O234" s="229"/>
    </row>
    <row r="235" spans="1:15" s="277" customFormat="1">
      <c r="A235" s="276"/>
      <c r="C235" s="229"/>
      <c r="D235" s="229"/>
      <c r="E235" s="229"/>
      <c r="F235" s="229"/>
      <c r="G235" s="229"/>
      <c r="H235" s="229"/>
      <c r="I235" s="229"/>
      <c r="J235" s="229"/>
      <c r="K235" s="229"/>
      <c r="L235" s="229"/>
      <c r="M235" s="229"/>
      <c r="N235" s="229"/>
      <c r="O235" s="229"/>
    </row>
    <row r="236" spans="1:15" s="277" customFormat="1">
      <c r="A236" s="276"/>
      <c r="C236" s="229"/>
      <c r="D236" s="229"/>
      <c r="E236" s="229"/>
      <c r="F236" s="229"/>
      <c r="G236" s="229"/>
      <c r="H236" s="229"/>
      <c r="I236" s="229"/>
      <c r="J236" s="229"/>
      <c r="K236" s="229"/>
      <c r="L236" s="229"/>
      <c r="M236" s="229"/>
      <c r="N236" s="229"/>
      <c r="O236" s="229"/>
    </row>
    <row r="237" spans="1:15" s="277" customFormat="1">
      <c r="A237" s="276"/>
      <c r="C237" s="229"/>
      <c r="D237" s="229"/>
      <c r="E237" s="229"/>
      <c r="F237" s="229"/>
      <c r="G237" s="229"/>
      <c r="H237" s="229"/>
      <c r="I237" s="229"/>
      <c r="J237" s="229"/>
      <c r="K237" s="229"/>
      <c r="L237" s="229"/>
      <c r="M237" s="229"/>
      <c r="N237" s="229"/>
      <c r="O237" s="229"/>
    </row>
    <row r="238" spans="1:15" s="277" customFormat="1">
      <c r="A238" s="276"/>
      <c r="C238" s="229"/>
      <c r="D238" s="229"/>
      <c r="E238" s="229"/>
      <c r="F238" s="229"/>
      <c r="G238" s="229"/>
      <c r="H238" s="229"/>
      <c r="I238" s="229"/>
      <c r="J238" s="229"/>
      <c r="K238" s="229"/>
      <c r="L238" s="229"/>
      <c r="M238" s="229"/>
      <c r="N238" s="229"/>
      <c r="O238" s="229"/>
    </row>
    <row r="239" spans="1:15" s="277" customFormat="1">
      <c r="A239" s="276"/>
      <c r="C239" s="229"/>
      <c r="D239" s="229"/>
      <c r="E239" s="229"/>
      <c r="F239" s="229"/>
      <c r="G239" s="229"/>
      <c r="H239" s="229"/>
      <c r="I239" s="229"/>
      <c r="J239" s="229"/>
      <c r="K239" s="229"/>
      <c r="L239" s="229"/>
      <c r="M239" s="229"/>
      <c r="N239" s="229"/>
      <c r="O239" s="229"/>
    </row>
    <row r="240" spans="1:15" s="277" customFormat="1">
      <c r="A240" s="276"/>
      <c r="C240" s="229"/>
      <c r="D240" s="229"/>
      <c r="E240" s="229"/>
      <c r="F240" s="229"/>
      <c r="G240" s="229"/>
      <c r="H240" s="229"/>
      <c r="I240" s="229"/>
      <c r="J240" s="229"/>
      <c r="K240" s="229"/>
      <c r="L240" s="229"/>
      <c r="M240" s="229"/>
      <c r="N240" s="229"/>
      <c r="O240" s="229"/>
    </row>
    <row r="241" spans="1:15" s="277" customFormat="1">
      <c r="A241" s="276"/>
      <c r="C241" s="229"/>
      <c r="D241" s="229"/>
      <c r="E241" s="229"/>
      <c r="F241" s="229"/>
      <c r="G241" s="229"/>
      <c r="H241" s="229"/>
      <c r="I241" s="229"/>
      <c r="J241" s="229"/>
      <c r="K241" s="229"/>
      <c r="L241" s="229"/>
      <c r="M241" s="229"/>
      <c r="N241" s="229"/>
      <c r="O241" s="229"/>
    </row>
    <row r="242" spans="1:15" s="277" customFormat="1">
      <c r="A242" s="276"/>
      <c r="C242" s="229"/>
      <c r="D242" s="229"/>
      <c r="E242" s="229"/>
      <c r="F242" s="229"/>
      <c r="G242" s="229"/>
      <c r="H242" s="229"/>
      <c r="I242" s="229"/>
      <c r="J242" s="229"/>
      <c r="K242" s="229"/>
      <c r="L242" s="229"/>
      <c r="M242" s="229"/>
      <c r="N242" s="229"/>
      <c r="O242" s="229"/>
    </row>
    <row r="243" spans="1:15" s="277" customFormat="1">
      <c r="A243" s="276"/>
      <c r="C243" s="229"/>
      <c r="D243" s="229"/>
      <c r="E243" s="229"/>
      <c r="F243" s="229"/>
      <c r="G243" s="229"/>
      <c r="H243" s="229"/>
      <c r="I243" s="229"/>
      <c r="J243" s="229"/>
      <c r="K243" s="229"/>
      <c r="L243" s="229"/>
      <c r="M243" s="229"/>
      <c r="N243" s="229"/>
      <c r="O243" s="229"/>
    </row>
    <row r="244" spans="1:15" s="277" customFormat="1">
      <c r="A244" s="276"/>
      <c r="C244" s="229"/>
      <c r="D244" s="229"/>
      <c r="E244" s="229"/>
      <c r="F244" s="229"/>
      <c r="G244" s="229"/>
      <c r="H244" s="229"/>
      <c r="I244" s="229"/>
      <c r="J244" s="229"/>
      <c r="K244" s="229"/>
      <c r="L244" s="229"/>
      <c r="M244" s="229"/>
      <c r="N244" s="229"/>
      <c r="O244" s="229"/>
    </row>
    <row r="245" spans="1:15" s="277" customFormat="1">
      <c r="A245" s="276"/>
      <c r="C245" s="229"/>
      <c r="D245" s="229"/>
      <c r="E245" s="229"/>
      <c r="F245" s="229"/>
      <c r="G245" s="229"/>
      <c r="H245" s="229"/>
      <c r="I245" s="229"/>
      <c r="J245" s="229"/>
      <c r="K245" s="229"/>
      <c r="L245" s="229"/>
      <c r="M245" s="229"/>
      <c r="N245" s="229"/>
      <c r="O245" s="229"/>
    </row>
    <row r="246" spans="1:15" s="277" customFormat="1">
      <c r="A246" s="276"/>
      <c r="C246" s="229"/>
      <c r="D246" s="229"/>
      <c r="E246" s="229"/>
      <c r="F246" s="229"/>
      <c r="G246" s="229"/>
      <c r="H246" s="229"/>
      <c r="I246" s="229"/>
      <c r="J246" s="229"/>
      <c r="K246" s="229"/>
      <c r="L246" s="229"/>
      <c r="M246" s="229"/>
      <c r="N246" s="229"/>
      <c r="O246" s="229"/>
    </row>
    <row r="247" spans="1:15" s="277" customFormat="1">
      <c r="A247" s="276"/>
      <c r="C247" s="229"/>
      <c r="D247" s="229"/>
      <c r="E247" s="229"/>
      <c r="F247" s="229"/>
      <c r="G247" s="229"/>
      <c r="H247" s="229"/>
      <c r="I247" s="229"/>
      <c r="J247" s="229"/>
      <c r="K247" s="229"/>
      <c r="L247" s="229"/>
      <c r="M247" s="229"/>
      <c r="N247" s="229"/>
      <c r="O247" s="229"/>
    </row>
    <row r="248" spans="1:15" s="277" customFormat="1">
      <c r="A248" s="276"/>
      <c r="C248" s="229"/>
      <c r="D248" s="229"/>
      <c r="E248" s="229"/>
      <c r="F248" s="229"/>
      <c r="G248" s="229"/>
      <c r="H248" s="229"/>
      <c r="I248" s="229"/>
      <c r="J248" s="229"/>
      <c r="K248" s="229"/>
      <c r="L248" s="229"/>
      <c r="M248" s="229"/>
      <c r="N248" s="229"/>
      <c r="O248" s="229"/>
    </row>
    <row r="249" spans="1:15" s="277" customFormat="1">
      <c r="A249" s="276"/>
      <c r="C249" s="229"/>
      <c r="D249" s="229"/>
      <c r="E249" s="229"/>
      <c r="F249" s="229"/>
      <c r="G249" s="229"/>
      <c r="H249" s="229"/>
      <c r="I249" s="229"/>
      <c r="J249" s="229"/>
      <c r="K249" s="229"/>
      <c r="L249" s="229"/>
      <c r="M249" s="229"/>
      <c r="N249" s="229"/>
      <c r="O249" s="229"/>
    </row>
    <row r="250" spans="1:15" s="277" customFormat="1">
      <c r="A250" s="276"/>
      <c r="C250" s="229"/>
      <c r="D250" s="229"/>
      <c r="E250" s="229"/>
      <c r="F250" s="229"/>
      <c r="G250" s="229"/>
      <c r="H250" s="229"/>
      <c r="I250" s="229"/>
      <c r="J250" s="229"/>
      <c r="K250" s="229"/>
      <c r="L250" s="229"/>
      <c r="M250" s="229"/>
      <c r="N250" s="229"/>
      <c r="O250" s="229"/>
    </row>
    <row r="251" spans="1:15" s="277" customFormat="1">
      <c r="A251" s="276"/>
      <c r="C251" s="229"/>
      <c r="D251" s="229"/>
      <c r="E251" s="229"/>
      <c r="F251" s="229"/>
      <c r="G251" s="229"/>
      <c r="H251" s="229"/>
      <c r="I251" s="229"/>
      <c r="J251" s="229"/>
      <c r="K251" s="229"/>
      <c r="L251" s="229"/>
      <c r="M251" s="229"/>
      <c r="N251" s="229"/>
      <c r="O251" s="229"/>
    </row>
    <row r="252" spans="1:15" s="277" customFormat="1">
      <c r="A252" s="276"/>
      <c r="C252" s="229"/>
      <c r="D252" s="229"/>
      <c r="E252" s="229"/>
      <c r="F252" s="229"/>
      <c r="G252" s="229"/>
      <c r="H252" s="229"/>
      <c r="I252" s="229"/>
      <c r="J252" s="229"/>
      <c r="K252" s="229"/>
      <c r="L252" s="229"/>
      <c r="M252" s="229"/>
      <c r="N252" s="229"/>
      <c r="O252" s="229"/>
    </row>
    <row r="253" spans="1:15" s="277" customFormat="1">
      <c r="A253" s="276"/>
      <c r="C253" s="229"/>
      <c r="D253" s="229"/>
      <c r="E253" s="229"/>
      <c r="F253" s="229"/>
      <c r="G253" s="229"/>
      <c r="H253" s="229"/>
      <c r="I253" s="229"/>
      <c r="J253" s="229"/>
      <c r="K253" s="229"/>
      <c r="L253" s="229"/>
      <c r="M253" s="229"/>
      <c r="N253" s="229"/>
      <c r="O253" s="229"/>
    </row>
    <row r="254" spans="1:15" s="277" customFormat="1">
      <c r="A254" s="276"/>
      <c r="C254" s="229"/>
      <c r="D254" s="229"/>
      <c r="E254" s="229"/>
      <c r="F254" s="229"/>
      <c r="G254" s="229"/>
      <c r="H254" s="229"/>
      <c r="I254" s="229"/>
      <c r="J254" s="229"/>
      <c r="K254" s="229"/>
      <c r="L254" s="229"/>
      <c r="M254" s="229"/>
      <c r="N254" s="229"/>
      <c r="O254" s="229"/>
    </row>
    <row r="255" spans="1:15" s="277" customFormat="1">
      <c r="A255" s="276"/>
      <c r="C255" s="229"/>
      <c r="D255" s="229"/>
      <c r="E255" s="229"/>
      <c r="F255" s="229"/>
      <c r="G255" s="229"/>
      <c r="H255" s="229"/>
      <c r="I255" s="229"/>
      <c r="J255" s="229"/>
      <c r="K255" s="229"/>
      <c r="L255" s="229"/>
      <c r="M255" s="229"/>
      <c r="N255" s="229"/>
      <c r="O255" s="229"/>
    </row>
    <row r="256" spans="1:15" s="277" customFormat="1">
      <c r="A256" s="276"/>
      <c r="C256" s="229"/>
      <c r="D256" s="229"/>
      <c r="E256" s="229"/>
      <c r="F256" s="229"/>
      <c r="G256" s="229"/>
      <c r="H256" s="229"/>
      <c r="I256" s="229"/>
      <c r="J256" s="229"/>
      <c r="K256" s="229"/>
      <c r="L256" s="229"/>
      <c r="M256" s="229"/>
      <c r="N256" s="229"/>
      <c r="O256" s="229"/>
    </row>
    <row r="257" spans="1:15" s="277" customFormat="1">
      <c r="A257" s="276"/>
      <c r="C257" s="229"/>
      <c r="D257" s="229"/>
      <c r="E257" s="229"/>
      <c r="F257" s="229"/>
      <c r="G257" s="229"/>
      <c r="H257" s="229"/>
      <c r="I257" s="229"/>
      <c r="J257" s="229"/>
      <c r="K257" s="229"/>
      <c r="L257" s="229"/>
      <c r="M257" s="229"/>
      <c r="N257" s="229"/>
      <c r="O257" s="229"/>
    </row>
    <row r="258" spans="1:15" s="277" customFormat="1">
      <c r="A258" s="276"/>
      <c r="C258" s="229"/>
      <c r="D258" s="229"/>
      <c r="E258" s="229"/>
      <c r="F258" s="229"/>
      <c r="G258" s="229"/>
      <c r="H258" s="229"/>
      <c r="I258" s="229"/>
      <c r="J258" s="229"/>
      <c r="K258" s="229"/>
      <c r="L258" s="229"/>
      <c r="M258" s="229"/>
      <c r="N258" s="229"/>
      <c r="O258" s="229"/>
    </row>
    <row r="259" spans="1:15" s="277" customFormat="1">
      <c r="A259" s="276"/>
      <c r="C259" s="229"/>
      <c r="D259" s="229"/>
      <c r="E259" s="229"/>
      <c r="F259" s="229"/>
      <c r="G259" s="229"/>
      <c r="H259" s="229"/>
      <c r="I259" s="229"/>
      <c r="J259" s="229"/>
      <c r="K259" s="229"/>
      <c r="L259" s="229"/>
      <c r="M259" s="229"/>
      <c r="N259" s="229"/>
      <c r="O259" s="229"/>
    </row>
    <row r="260" spans="1:15" s="277" customFormat="1">
      <c r="A260" s="276"/>
      <c r="C260" s="229"/>
      <c r="D260" s="229"/>
      <c r="E260" s="229"/>
      <c r="F260" s="229"/>
      <c r="G260" s="229"/>
      <c r="H260" s="229"/>
      <c r="I260" s="229"/>
      <c r="J260" s="229"/>
      <c r="K260" s="229"/>
      <c r="L260" s="229"/>
      <c r="M260" s="229"/>
      <c r="N260" s="229"/>
      <c r="O260" s="229"/>
    </row>
    <row r="261" spans="1:15" s="277" customFormat="1">
      <c r="A261" s="276"/>
      <c r="C261" s="229"/>
      <c r="D261" s="229"/>
      <c r="E261" s="229"/>
      <c r="F261" s="229"/>
      <c r="G261" s="229"/>
      <c r="H261" s="229"/>
      <c r="I261" s="229"/>
      <c r="J261" s="229"/>
      <c r="K261" s="229"/>
      <c r="L261" s="229"/>
      <c r="M261" s="229"/>
      <c r="N261" s="229"/>
      <c r="O261" s="229"/>
    </row>
    <row r="262" spans="1:15" s="277" customFormat="1">
      <c r="A262" s="276"/>
      <c r="C262" s="229"/>
      <c r="D262" s="229"/>
      <c r="E262" s="229"/>
      <c r="F262" s="229"/>
      <c r="G262" s="229"/>
      <c r="H262" s="229"/>
      <c r="I262" s="229"/>
      <c r="J262" s="229"/>
      <c r="K262" s="229"/>
      <c r="L262" s="229"/>
      <c r="M262" s="229"/>
      <c r="N262" s="229"/>
      <c r="O262" s="229"/>
    </row>
    <row r="263" spans="1:15" s="277" customFormat="1">
      <c r="A263" s="276"/>
      <c r="C263" s="229"/>
      <c r="D263" s="229"/>
      <c r="E263" s="229"/>
      <c r="F263" s="229"/>
      <c r="G263" s="229"/>
      <c r="H263" s="229"/>
      <c r="I263" s="229"/>
      <c r="J263" s="229"/>
      <c r="K263" s="229"/>
      <c r="L263" s="229"/>
      <c r="M263" s="229"/>
      <c r="N263" s="229"/>
      <c r="O263" s="229"/>
    </row>
    <row r="264" spans="1:15" s="277" customFormat="1">
      <c r="A264" s="276"/>
      <c r="C264" s="229"/>
      <c r="D264" s="229"/>
      <c r="E264" s="229"/>
      <c r="F264" s="229"/>
      <c r="G264" s="229"/>
      <c r="H264" s="229"/>
      <c r="I264" s="229"/>
      <c r="J264" s="229"/>
      <c r="K264" s="229"/>
      <c r="L264" s="229"/>
      <c r="M264" s="229"/>
      <c r="N264" s="229"/>
      <c r="O264" s="229"/>
    </row>
    <row r="265" spans="1:15" s="277" customFormat="1">
      <c r="A265" s="276"/>
      <c r="C265" s="229"/>
      <c r="D265" s="229"/>
      <c r="E265" s="229"/>
      <c r="F265" s="229"/>
      <c r="G265" s="229"/>
      <c r="H265" s="229"/>
      <c r="I265" s="229"/>
      <c r="J265" s="229"/>
      <c r="K265" s="229"/>
      <c r="L265" s="229"/>
      <c r="M265" s="229"/>
      <c r="N265" s="229"/>
      <c r="O265" s="229"/>
    </row>
    <row r="266" spans="1:15" s="277" customFormat="1">
      <c r="A266" s="276"/>
      <c r="C266" s="229"/>
      <c r="D266" s="229"/>
      <c r="E266" s="229"/>
      <c r="F266" s="229"/>
      <c r="G266" s="229"/>
      <c r="H266" s="229"/>
      <c r="I266" s="229"/>
      <c r="J266" s="229"/>
      <c r="K266" s="229"/>
      <c r="L266" s="229"/>
      <c r="M266" s="229"/>
      <c r="N266" s="229"/>
      <c r="O266" s="229"/>
    </row>
    <row r="267" spans="1:15" s="277" customFormat="1">
      <c r="A267" s="276"/>
      <c r="C267" s="229"/>
      <c r="D267" s="229"/>
      <c r="E267" s="229"/>
      <c r="F267" s="229"/>
      <c r="G267" s="229"/>
      <c r="H267" s="229"/>
      <c r="I267" s="229"/>
      <c r="J267" s="229"/>
      <c r="K267" s="229"/>
      <c r="L267" s="229"/>
      <c r="M267" s="229"/>
      <c r="N267" s="229"/>
      <c r="O267" s="229"/>
    </row>
    <row r="268" spans="1:15" s="277" customFormat="1">
      <c r="A268" s="276"/>
      <c r="C268" s="229"/>
      <c r="D268" s="229"/>
      <c r="E268" s="229"/>
      <c r="F268" s="229"/>
      <c r="G268" s="229"/>
      <c r="H268" s="229"/>
      <c r="I268" s="229"/>
      <c r="J268" s="229"/>
      <c r="K268" s="229"/>
      <c r="L268" s="229"/>
      <c r="M268" s="229"/>
      <c r="N268" s="229"/>
      <c r="O268" s="229"/>
    </row>
    <row r="269" spans="1:15" s="277" customFormat="1">
      <c r="A269" s="276"/>
      <c r="C269" s="229"/>
      <c r="D269" s="229"/>
      <c r="E269" s="229"/>
      <c r="F269" s="229"/>
      <c r="G269" s="229"/>
      <c r="H269" s="229"/>
      <c r="I269" s="229"/>
      <c r="J269" s="229"/>
      <c r="K269" s="229"/>
      <c r="L269" s="229"/>
      <c r="M269" s="229"/>
      <c r="N269" s="229"/>
      <c r="O269" s="229"/>
    </row>
    <row r="270" spans="1:15" s="277" customFormat="1">
      <c r="A270" s="276"/>
      <c r="C270" s="229"/>
      <c r="D270" s="229"/>
      <c r="E270" s="229"/>
      <c r="F270" s="229"/>
      <c r="G270" s="229"/>
      <c r="H270" s="229"/>
      <c r="I270" s="229"/>
      <c r="J270" s="229"/>
      <c r="K270" s="229"/>
      <c r="L270" s="229"/>
      <c r="M270" s="229"/>
      <c r="N270" s="229"/>
      <c r="O270" s="229"/>
    </row>
    <row r="271" spans="1:15" s="277" customFormat="1">
      <c r="A271" s="276"/>
      <c r="C271" s="229"/>
      <c r="D271" s="229"/>
      <c r="E271" s="229"/>
      <c r="F271" s="229"/>
      <c r="G271" s="229"/>
      <c r="H271" s="229"/>
      <c r="I271" s="229"/>
      <c r="J271" s="229"/>
      <c r="K271" s="229"/>
      <c r="L271" s="229"/>
      <c r="M271" s="229"/>
      <c r="N271" s="229"/>
      <c r="O271" s="229"/>
    </row>
    <row r="272" spans="1:15" s="277" customFormat="1">
      <c r="A272" s="276"/>
      <c r="C272" s="229"/>
      <c r="D272" s="229"/>
      <c r="E272" s="229"/>
      <c r="F272" s="229"/>
      <c r="G272" s="229"/>
      <c r="H272" s="229"/>
      <c r="I272" s="229"/>
      <c r="J272" s="229"/>
      <c r="K272" s="229"/>
      <c r="L272" s="229"/>
      <c r="M272" s="229"/>
      <c r="N272" s="229"/>
      <c r="O272" s="229"/>
    </row>
    <row r="273" spans="1:15" s="277" customFormat="1">
      <c r="A273" s="276"/>
      <c r="C273" s="229"/>
      <c r="D273" s="229"/>
      <c r="E273" s="229"/>
      <c r="F273" s="229"/>
      <c r="G273" s="229"/>
      <c r="H273" s="229"/>
      <c r="I273" s="229"/>
      <c r="J273" s="229"/>
      <c r="K273" s="229"/>
      <c r="L273" s="229"/>
      <c r="M273" s="229"/>
      <c r="N273" s="229"/>
      <c r="O273" s="229"/>
    </row>
    <row r="274" spans="1:15" s="277" customFormat="1">
      <c r="A274" s="276"/>
      <c r="C274" s="229"/>
      <c r="D274" s="229"/>
      <c r="E274" s="229"/>
      <c r="F274" s="229"/>
      <c r="G274" s="229"/>
      <c r="H274" s="229"/>
      <c r="I274" s="229"/>
      <c r="J274" s="229"/>
      <c r="K274" s="229"/>
      <c r="L274" s="229"/>
      <c r="M274" s="229"/>
      <c r="N274" s="229"/>
      <c r="O274" s="229"/>
    </row>
    <row r="275" spans="1:15" s="277" customFormat="1">
      <c r="A275" s="276"/>
      <c r="C275" s="229"/>
      <c r="D275" s="229"/>
      <c r="E275" s="229"/>
      <c r="F275" s="229"/>
      <c r="G275" s="229"/>
      <c r="H275" s="229"/>
      <c r="I275" s="229"/>
      <c r="J275" s="229"/>
      <c r="K275" s="229"/>
      <c r="L275" s="229"/>
      <c r="M275" s="229"/>
      <c r="N275" s="229"/>
      <c r="O275" s="229"/>
    </row>
    <row r="276" spans="1:15" s="277" customFormat="1">
      <c r="A276" s="276"/>
      <c r="C276" s="229"/>
      <c r="D276" s="229"/>
      <c r="E276" s="229"/>
      <c r="F276" s="229"/>
      <c r="G276" s="229"/>
      <c r="H276" s="229"/>
      <c r="I276" s="229"/>
      <c r="J276" s="229"/>
      <c r="K276" s="229"/>
      <c r="L276" s="229"/>
      <c r="M276" s="229"/>
      <c r="N276" s="229"/>
      <c r="O276" s="229"/>
    </row>
    <row r="277" spans="1:15" s="277" customFormat="1">
      <c r="A277" s="276"/>
      <c r="C277" s="229"/>
      <c r="D277" s="229"/>
      <c r="E277" s="229"/>
      <c r="F277" s="229"/>
      <c r="G277" s="229"/>
      <c r="H277" s="229"/>
      <c r="I277" s="229"/>
      <c r="J277" s="229"/>
      <c r="K277" s="229"/>
      <c r="L277" s="229"/>
      <c r="M277" s="229"/>
      <c r="N277" s="229"/>
      <c r="O277" s="229"/>
    </row>
    <row r="278" spans="1:15" s="277" customFormat="1">
      <c r="A278" s="276"/>
      <c r="C278" s="229"/>
      <c r="D278" s="229"/>
      <c r="E278" s="229"/>
      <c r="F278" s="229"/>
      <c r="G278" s="229"/>
      <c r="H278" s="229"/>
      <c r="I278" s="229"/>
      <c r="J278" s="229"/>
      <c r="K278" s="229"/>
      <c r="L278" s="229"/>
      <c r="M278" s="229"/>
      <c r="N278" s="229"/>
      <c r="O278" s="229"/>
    </row>
  </sheetData>
  <sheetProtection algorithmName="SHA-512" hashValue="oXZVH9nrYF8MIRqJd/I1dH+M8LW1cMSaN4a6N3UXwXOlx/Ciq+WXejMyfeRLW807DFmaKXtVmaXov2Jg+rOUlQ==" saltValue="llLW6+8R6khLfkfnsL2Qkg==" spinCount="100000" sheet="1" objects="1" scenarios="1" selectLockedCells="1" selectUnlockedCells="1"/>
  <mergeCells count="14">
    <mergeCell ref="C25:O25"/>
    <mergeCell ref="C26:O26"/>
    <mergeCell ref="C12:H13"/>
    <mergeCell ref="C6:H7"/>
    <mergeCell ref="C17:O17"/>
    <mergeCell ref="C18:O18"/>
    <mergeCell ref="C19:O19"/>
    <mergeCell ref="C20:O20"/>
    <mergeCell ref="C22:D22"/>
    <mergeCell ref="C24:O24"/>
    <mergeCell ref="C8:H8"/>
    <mergeCell ref="C10:H10"/>
    <mergeCell ref="J12:M12"/>
    <mergeCell ref="C15:D15"/>
  </mergeCells>
  <hyperlinks>
    <hyperlink ref="A7" r:id="rId1" xr:uid="{FC919890-A799-42C3-A787-4043E9AA2167}"/>
  </hyperlinks>
  <printOptions headings="1" gridLines="1"/>
  <pageMargins left="0.70000000000000007" right="0.70000000000000007" top="0.75000000000000011" bottom="0.75000000000000011" header="0.30000000000000004" footer="0.30000000000000004"/>
  <pageSetup paperSize="9" orientation="portrait" r:id="rId2"/>
  <colBreaks count="1" manualBreakCount="1">
    <brk id="30" max="1048575" man="1"/>
  </colBreaks>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I144"/>
  <sheetViews>
    <sheetView showGridLines="0" showRowColHeaders="0" zoomScaleNormal="100" workbookViewId="0">
      <pane ySplit="7" topLeftCell="A8" activePane="bottomLeft" state="frozen"/>
      <selection activeCell="A7" sqref="A7"/>
      <selection pane="bottomLeft" activeCell="C9" sqref="C9:D9"/>
    </sheetView>
  </sheetViews>
  <sheetFormatPr defaultColWidth="10.625" defaultRowHeight="15.75"/>
  <cols>
    <col min="1" max="1" width="1.625" style="1" customWidth="1"/>
    <col min="2" max="2" width="61.625" style="1" bestFit="1" customWidth="1"/>
    <col min="3" max="10" width="12.875" style="1" customWidth="1"/>
    <col min="11" max="11" width="13.375" style="2" hidden="1" customWidth="1"/>
    <col min="12" max="12" width="11.875" style="2" hidden="1" customWidth="1"/>
    <col min="13" max="13" width="81.125" style="1" customWidth="1"/>
    <col min="14" max="14" width="16.5" style="1" hidden="1" customWidth="1"/>
    <col min="15" max="15" width="11.875" style="1" hidden="1" customWidth="1"/>
    <col min="16" max="16" width="14" style="1" hidden="1" customWidth="1"/>
    <col min="17" max="19" width="11.875" style="1" hidden="1" customWidth="1"/>
    <col min="20" max="20" width="4.625" style="1" hidden="1" customWidth="1"/>
    <col min="21" max="21" width="6.5" style="1" hidden="1" customWidth="1"/>
    <col min="22" max="22" width="10.625" style="1" hidden="1" customWidth="1"/>
    <col min="23" max="24" width="11.375" style="1" hidden="1" customWidth="1"/>
    <col min="25" max="25" width="14" style="1" hidden="1" customWidth="1"/>
    <col min="26" max="26" width="7.5" style="1" hidden="1" customWidth="1"/>
    <col min="27" max="27" width="10.625" style="1" hidden="1" customWidth="1"/>
    <col min="28" max="28" width="17.5" style="1" hidden="1" customWidth="1"/>
    <col min="29" max="33" width="10.625" style="1" hidden="1" customWidth="1"/>
    <col min="34" max="39" width="10.625" style="1" customWidth="1"/>
    <col min="40" max="16384" width="10.625" style="1"/>
  </cols>
  <sheetData>
    <row r="1" spans="2:34" ht="16.5" hidden="1" thickBot="1">
      <c r="K1" s="73" t="str">
        <f>IF(E10&lt;0.999*O27,"I&lt;Imax",IF(E10&gt;1.001*O27,"I&gt;Imax","I@Imax"))</f>
        <v>I&gt;Imax</v>
      </c>
      <c r="L1" s="73" t="str">
        <f>IF(L23&gt;0.01,"Pdes&lt;Pmax",IF(L23&lt;-0.01,"Pdes&gt;Pmax","Pdes@Pmax"))</f>
        <v>Pdes&lt;Pmax</v>
      </c>
      <c r="M1" s="3" t="str">
        <f>IF(L4="Pavg ok",IF(K4&gt;3,CONCATENATE("The amplifier should only need ",ROUND(K116,1),"A as an average over time. "),""),"")</f>
        <v xml:space="preserve">The amplifier should only need 1,3A as an average over time. </v>
      </c>
    </row>
    <row r="2" spans="2:34" ht="15.95" hidden="1" customHeight="1">
      <c r="C2" s="4" t="s">
        <v>14</v>
      </c>
      <c r="D2" s="5"/>
      <c r="G2" s="1" t="s">
        <v>15</v>
      </c>
      <c r="K2" s="6" t="s">
        <v>16</v>
      </c>
      <c r="L2" s="74">
        <f>MAX(K116,AVERAGE(O12/O24/C10,O26/C10))</f>
        <v>6.5043478260869563</v>
      </c>
      <c r="M2" s="7" t="str">
        <f>IF(K1="I&lt;Imax",IF(K3&lt;-0.01,IF(L1="Pdes&lt;Pmax",IF(L4="Pavg&lt;Pdes","The amplifier can deliver the desired average power if the mains current is increased. ",""),""),""),"")</f>
        <v/>
      </c>
      <c r="N2" s="8" t="s">
        <v>17</v>
      </c>
      <c r="O2" s="9" t="s">
        <v>18</v>
      </c>
      <c r="P2" s="9" t="s">
        <v>205</v>
      </c>
      <c r="Q2" s="9" t="s">
        <v>197</v>
      </c>
      <c r="R2" s="9" t="s">
        <v>196</v>
      </c>
      <c r="S2" s="9" t="s">
        <v>195</v>
      </c>
      <c r="AB2" s="1" t="s">
        <v>19</v>
      </c>
    </row>
    <row r="3" spans="2:34" ht="15.95" hidden="1" customHeight="1">
      <c r="C3" s="10" t="s">
        <v>20</v>
      </c>
      <c r="D3" s="11">
        <v>60</v>
      </c>
      <c r="G3" s="1" t="s">
        <v>21</v>
      </c>
      <c r="H3" s="75">
        <f>SQRT(2)*100</f>
        <v>141.42135623730951</v>
      </c>
      <c r="K3" s="17">
        <f>10*LOG10(L2/O27)</f>
        <v>-3.0073959479598713</v>
      </c>
      <c r="L3" s="12" t="s">
        <v>22</v>
      </c>
      <c r="M3" s="13" t="str">
        <f>IF(E10&lt;L2,IF(L1="Pdes&gt;Pmax",IF(K5&lt;-0.01,"It can get closer to the desired average power with a higher mains current availability. ",""),""),"")</f>
        <v/>
      </c>
      <c r="N3" s="1" t="s">
        <v>23</v>
      </c>
      <c r="O3" s="14">
        <f>INDEX(P3:S3,1,MATCH(C$9,P$2:S$2,0))</f>
        <v>8000</v>
      </c>
      <c r="P3" s="14">
        <v>1000</v>
      </c>
      <c r="Q3" s="14">
        <v>2000</v>
      </c>
      <c r="R3" s="14">
        <v>4000</v>
      </c>
      <c r="S3" s="14">
        <v>8000</v>
      </c>
      <c r="T3" s="14"/>
      <c r="AB3" s="2">
        <v>100</v>
      </c>
    </row>
    <row r="4" spans="2:34" ht="15.95" hidden="1" customHeight="1">
      <c r="C4" s="10" t="s">
        <v>24</v>
      </c>
      <c r="D4" s="16">
        <f>25^2/D3</f>
        <v>10.416666666666666</v>
      </c>
      <c r="G4" s="1" t="s">
        <v>25</v>
      </c>
      <c r="H4" s="75">
        <v>100</v>
      </c>
      <c r="K4" s="17">
        <f>10*LOG10(E10/K116)</f>
        <v>10.954654102170554</v>
      </c>
      <c r="L4" s="73" t="str">
        <f>IF(K122&lt;-0.01,"Pavg&lt;Pdes","Pavg ok")</f>
        <v>Pavg ok</v>
      </c>
      <c r="M4" s="3" t="str">
        <f>IF(E10&gt;L2*1.01,IF(E10&lt;0.99*O27,IF(L4="Pavg&lt;Pdes",CONCATENATE("The desired total average power exceeds the capacity. It's expected to draw around ",ROUND(L2,1),"A when it reaches its total average power capacity so increasing the available current won't let it reach the desired average power. "),""),""),"")</f>
        <v/>
      </c>
      <c r="O4" s="14"/>
      <c r="P4" s="14"/>
      <c r="Q4" s="14"/>
      <c r="R4" s="14"/>
      <c r="S4" s="14"/>
      <c r="T4" s="14"/>
      <c r="AB4" s="2">
        <v>115</v>
      </c>
    </row>
    <row r="5" spans="2:34" ht="15.95" hidden="1" customHeight="1">
      <c r="C5" s="10" t="s">
        <v>26</v>
      </c>
      <c r="D5" s="16">
        <f>100^2/2/D3</f>
        <v>83.333333333333329</v>
      </c>
      <c r="G5" s="1" t="s">
        <v>27</v>
      </c>
      <c r="H5" s="75">
        <f>SQRT(2)*25</f>
        <v>35.355339059327378</v>
      </c>
      <c r="K5" s="17">
        <f>10*LOG10(E10/L2)</f>
        <v>3.9091622514507511</v>
      </c>
      <c r="M5" s="13" t="str">
        <f>IF(E10&gt;O27*1.01,CONCATENATE("The amplifier is limited to ",O27,"A. "),"")</f>
        <v xml:space="preserve">The amplifier is limited to 13A. </v>
      </c>
      <c r="O5" s="14"/>
      <c r="P5" s="18">
        <v>125</v>
      </c>
      <c r="Q5" s="18">
        <f t="shared" ref="Q5:S5" si="0">Q3/8</f>
        <v>250</v>
      </c>
      <c r="R5" s="18">
        <f t="shared" si="0"/>
        <v>500</v>
      </c>
      <c r="S5" s="18">
        <f t="shared" si="0"/>
        <v>1000</v>
      </c>
      <c r="T5" s="14"/>
      <c r="AB5" s="2">
        <v>120</v>
      </c>
    </row>
    <row r="6" spans="2:34" ht="17.25" hidden="1" customHeight="1" thickBot="1">
      <c r="C6" s="19" t="s">
        <v>28</v>
      </c>
      <c r="D6" s="20">
        <f>100^2/D3</f>
        <v>166.66666666666666</v>
      </c>
      <c r="G6" s="1" t="s">
        <v>29</v>
      </c>
      <c r="O6" s="14"/>
      <c r="P6" s="18">
        <f t="shared" ref="P6:S6" si="1">(P12-P23)*P16</f>
        <v>116.48000000000002</v>
      </c>
      <c r="Q6" s="18">
        <f t="shared" si="1"/>
        <v>206.64000000000001</v>
      </c>
      <c r="R6" s="18">
        <f t="shared" si="1"/>
        <v>429.03000000000003</v>
      </c>
      <c r="S6" s="18">
        <f t="shared" si="1"/>
        <v>869.22</v>
      </c>
      <c r="T6" s="14"/>
      <c r="AB6" s="2">
        <v>125</v>
      </c>
    </row>
    <row r="7" spans="2:34" ht="99.95" customHeight="1" thickBot="1">
      <c r="C7" s="21"/>
      <c r="D7" s="84" t="s">
        <v>206</v>
      </c>
      <c r="E7" s="85"/>
      <c r="F7" s="85"/>
      <c r="I7" s="21"/>
      <c r="J7" s="21"/>
      <c r="M7" s="362"/>
      <c r="N7" s="1" t="s">
        <v>30</v>
      </c>
      <c r="O7" s="14">
        <f t="shared" ref="O7:O13" si="2">INDEX(P7:S7,1,MATCH(C$9,P$2:S$2,0))</f>
        <v>869.22</v>
      </c>
      <c r="P7" s="22">
        <f t="shared" ref="P7:S7" si="3">MIN(P6,ROUND(AVERAGE(P6,P6,P6,P5),-1))</f>
        <v>116.48000000000002</v>
      </c>
      <c r="Q7" s="22">
        <f t="shared" si="3"/>
        <v>206.64000000000001</v>
      </c>
      <c r="R7" s="22">
        <f t="shared" si="3"/>
        <v>429.03000000000003</v>
      </c>
      <c r="S7" s="22">
        <f t="shared" si="3"/>
        <v>869.22</v>
      </c>
      <c r="T7" s="23"/>
      <c r="AB7" s="2">
        <v>173</v>
      </c>
      <c r="AH7" s="77"/>
    </row>
    <row r="8" spans="2:34" s="27" customFormat="1" ht="24.95" customHeight="1" thickBot="1">
      <c r="B8" s="24" t="s">
        <v>31</v>
      </c>
      <c r="C8" s="25"/>
      <c r="D8" s="25"/>
      <c r="E8" s="25"/>
      <c r="F8" s="25"/>
      <c r="G8" s="25"/>
      <c r="H8" s="25"/>
      <c r="I8" s="25"/>
      <c r="J8" s="78"/>
      <c r="K8" s="26"/>
      <c r="L8" s="344"/>
      <c r="M8" s="265" t="s">
        <v>32</v>
      </c>
      <c r="N8" s="27" t="s">
        <v>33</v>
      </c>
      <c r="O8" s="28">
        <f t="shared" si="2"/>
        <v>2000</v>
      </c>
      <c r="P8" s="103">
        <v>250</v>
      </c>
      <c r="Q8" s="28">
        <v>500</v>
      </c>
      <c r="R8" s="28">
        <v>1000</v>
      </c>
      <c r="S8" s="28">
        <v>2000</v>
      </c>
      <c r="T8" s="28"/>
      <c r="Y8" s="27" t="s">
        <v>34</v>
      </c>
      <c r="Z8" s="31">
        <v>400</v>
      </c>
      <c r="AB8" s="32">
        <v>208</v>
      </c>
    </row>
    <row r="9" spans="2:34" s="27" customFormat="1" ht="24.95" customHeight="1">
      <c r="B9" s="33" t="s">
        <v>35</v>
      </c>
      <c r="C9" s="394" t="s">
        <v>195</v>
      </c>
      <c r="D9" s="395"/>
      <c r="J9" s="65"/>
      <c r="K9" s="32"/>
      <c r="L9" s="345"/>
      <c r="M9" s="65"/>
      <c r="N9" s="27" t="s">
        <v>36</v>
      </c>
      <c r="O9" s="52">
        <f t="shared" si="2"/>
        <v>160</v>
      </c>
      <c r="P9" s="104">
        <v>140</v>
      </c>
      <c r="Q9" s="52">
        <v>160</v>
      </c>
      <c r="R9" s="52">
        <v>160</v>
      </c>
      <c r="S9" s="52">
        <v>160</v>
      </c>
      <c r="T9" s="28"/>
      <c r="U9" s="35"/>
      <c r="V9" s="35"/>
      <c r="W9" s="35"/>
      <c r="X9" s="35"/>
      <c r="Y9" s="27" t="s">
        <v>37</v>
      </c>
      <c r="Z9" s="31">
        <v>162</v>
      </c>
      <c r="AB9" s="32">
        <v>220</v>
      </c>
    </row>
    <row r="10" spans="2:34" s="27" customFormat="1" ht="30" customHeight="1" thickBot="1">
      <c r="B10" s="36" t="s">
        <v>38</v>
      </c>
      <c r="C10" s="356">
        <v>230</v>
      </c>
      <c r="D10" s="357">
        <v>16</v>
      </c>
      <c r="E10" s="355">
        <f>$D$10</f>
        <v>16</v>
      </c>
      <c r="F10" s="80"/>
      <c r="G10" s="80"/>
      <c r="H10" s="80"/>
      <c r="I10" s="80"/>
      <c r="J10" s="80"/>
      <c r="K10" s="80"/>
      <c r="L10" s="46"/>
      <c r="M10" s="361" t="str">
        <f>CONCATENATE($M$1,$M$2,$M$3,$M$4,$M$5)</f>
        <v xml:space="preserve">The amplifier should only need 1,3A as an average over time. The amplifier is limited to 13A. </v>
      </c>
      <c r="N10" s="27" t="s">
        <v>39</v>
      </c>
      <c r="O10" s="37">
        <f t="shared" si="2"/>
        <v>48</v>
      </c>
      <c r="P10" s="105">
        <v>25</v>
      </c>
      <c r="Q10" s="37">
        <v>30</v>
      </c>
      <c r="R10" s="37">
        <v>40</v>
      </c>
      <c r="S10" s="37">
        <v>48</v>
      </c>
      <c r="T10" s="38"/>
      <c r="U10" s="35"/>
      <c r="V10" s="35"/>
      <c r="W10" s="35"/>
      <c r="X10" s="35"/>
      <c r="Y10" s="27" t="s">
        <v>29</v>
      </c>
      <c r="Z10" s="31">
        <f>Z8-Z9</f>
        <v>238</v>
      </c>
      <c r="AB10" s="32">
        <v>230</v>
      </c>
    </row>
    <row r="11" spans="2:34" s="136" customFormat="1" ht="15" customHeight="1">
      <c r="B11" s="140"/>
      <c r="C11" s="396" t="s">
        <v>40</v>
      </c>
      <c r="D11" s="396"/>
      <c r="E11" s="396"/>
      <c r="F11" s="396"/>
      <c r="G11" s="396"/>
      <c r="H11" s="396"/>
      <c r="I11" s="396"/>
      <c r="J11" s="396"/>
      <c r="K11" s="397"/>
      <c r="L11" s="398"/>
      <c r="M11" s="350"/>
      <c r="N11" s="136" t="s">
        <v>41</v>
      </c>
      <c r="O11" s="266">
        <f t="shared" si="2"/>
        <v>160</v>
      </c>
      <c r="P11" s="267">
        <v>141</v>
      </c>
      <c r="Q11" s="266">
        <v>160</v>
      </c>
      <c r="R11" s="266">
        <v>160</v>
      </c>
      <c r="S11" s="266">
        <v>160</v>
      </c>
      <c r="T11" s="137"/>
      <c r="U11" s="152" t="s">
        <v>42</v>
      </c>
      <c r="V11" s="268" t="s">
        <v>43</v>
      </c>
      <c r="W11" s="268" t="s">
        <v>44</v>
      </c>
      <c r="X11" s="268" t="s">
        <v>45</v>
      </c>
      <c r="Y11" s="136" t="s">
        <v>46</v>
      </c>
      <c r="Z11" s="269">
        <f>-10*LOG10(Z9/Z8)</f>
        <v>3.9254497678533138</v>
      </c>
      <c r="AB11" s="163">
        <v>240</v>
      </c>
      <c r="AH11" s="140"/>
    </row>
    <row r="12" spans="2:34" s="136" customFormat="1" ht="24.95" customHeight="1" thickBot="1">
      <c r="B12" s="233" t="s">
        <v>47</v>
      </c>
      <c r="C12" s="374">
        <v>1</v>
      </c>
      <c r="D12" s="374">
        <v>2</v>
      </c>
      <c r="E12" s="374">
        <v>3</v>
      </c>
      <c r="F12" s="374">
        <v>4</v>
      </c>
      <c r="G12" s="374">
        <v>5</v>
      </c>
      <c r="H12" s="374">
        <v>6</v>
      </c>
      <c r="I12" s="374">
        <v>7</v>
      </c>
      <c r="J12" s="374">
        <v>8</v>
      </c>
      <c r="K12" s="163"/>
      <c r="L12" s="359"/>
      <c r="M12" s="228"/>
      <c r="N12" s="136" t="s">
        <v>48</v>
      </c>
      <c r="O12" s="151">
        <f t="shared" si="2"/>
        <v>1360</v>
      </c>
      <c r="P12" s="271">
        <v>251</v>
      </c>
      <c r="Q12" s="271">
        <v>412</v>
      </c>
      <c r="R12" s="271">
        <v>724</v>
      </c>
      <c r="S12" s="271">
        <v>1360</v>
      </c>
      <c r="T12" s="151"/>
      <c r="U12" s="136" t="s">
        <v>49</v>
      </c>
      <c r="V12" s="272">
        <v>14</v>
      </c>
      <c r="W12" s="273">
        <v>12</v>
      </c>
      <c r="X12" s="274">
        <v>2</v>
      </c>
      <c r="Y12" s="275">
        <v>0.7</v>
      </c>
    </row>
    <row r="13" spans="2:34" s="27" customFormat="1" ht="24.95" customHeight="1">
      <c r="B13" s="40" t="s">
        <v>50</v>
      </c>
      <c r="C13" s="107">
        <v>200</v>
      </c>
      <c r="D13" s="107">
        <v>65</v>
      </c>
      <c r="E13" s="107">
        <v>65</v>
      </c>
      <c r="F13" s="107">
        <v>65</v>
      </c>
      <c r="G13" s="107">
        <v>65</v>
      </c>
      <c r="H13" s="107">
        <v>65</v>
      </c>
      <c r="I13" s="107">
        <v>65</v>
      </c>
      <c r="J13" s="107">
        <v>65</v>
      </c>
      <c r="K13" s="79"/>
      <c r="L13" s="360"/>
      <c r="M13" s="46" t="s">
        <v>51</v>
      </c>
      <c r="N13" s="27" t="s">
        <v>52</v>
      </c>
      <c r="O13" s="28">
        <f t="shared" si="2"/>
        <v>217.30500000000001</v>
      </c>
      <c r="P13" s="42">
        <f t="shared" ref="P13:S13" si="4">P6/4</f>
        <v>29.120000000000005</v>
      </c>
      <c r="Q13" s="42">
        <f t="shared" si="4"/>
        <v>51.660000000000004</v>
      </c>
      <c r="R13" s="42">
        <f t="shared" si="4"/>
        <v>107.25750000000001</v>
      </c>
      <c r="S13" s="42">
        <f t="shared" si="4"/>
        <v>217.30500000000001</v>
      </c>
      <c r="T13" s="28"/>
      <c r="U13" s="27" t="s">
        <v>53</v>
      </c>
      <c r="V13" s="43">
        <f t="shared" ref="V13:V16" si="5">W13+X13</f>
        <v>15.4</v>
      </c>
      <c r="W13" s="44">
        <v>14</v>
      </c>
      <c r="X13" s="45">
        <v>1.4</v>
      </c>
      <c r="Y13" s="114">
        <v>0.65</v>
      </c>
      <c r="AH13" s="40"/>
    </row>
    <row r="14" spans="2:34" s="27" customFormat="1" ht="24.95" customHeight="1">
      <c r="B14" s="40" t="s">
        <v>54</v>
      </c>
      <c r="C14" s="108" t="s">
        <v>15</v>
      </c>
      <c r="D14" s="108" t="s">
        <v>15</v>
      </c>
      <c r="E14" s="108" t="s">
        <v>15</v>
      </c>
      <c r="F14" s="108" t="s">
        <v>15</v>
      </c>
      <c r="G14" s="108" t="s">
        <v>15</v>
      </c>
      <c r="H14" s="108" t="s">
        <v>15</v>
      </c>
      <c r="I14" s="108" t="s">
        <v>15</v>
      </c>
      <c r="J14" s="108" t="s">
        <v>15</v>
      </c>
      <c r="K14" s="79"/>
      <c r="L14" s="360"/>
      <c r="M14" s="46" t="s">
        <v>55</v>
      </c>
      <c r="N14" s="80"/>
      <c r="O14" s="28"/>
      <c r="P14" s="42"/>
      <c r="Q14" s="28"/>
      <c r="R14" s="28"/>
      <c r="S14" s="28"/>
      <c r="T14" s="28"/>
      <c r="U14" s="27" t="s">
        <v>56</v>
      </c>
      <c r="V14" s="43">
        <f t="shared" si="5"/>
        <v>17.2</v>
      </c>
      <c r="W14" s="47">
        <v>16</v>
      </c>
      <c r="X14" s="48">
        <v>1.2</v>
      </c>
      <c r="Y14" s="114">
        <v>0.6</v>
      </c>
      <c r="AH14" s="40"/>
    </row>
    <row r="15" spans="2:34" s="27" customFormat="1" ht="24.95" customHeight="1">
      <c r="B15" s="40" t="s">
        <v>57</v>
      </c>
      <c r="C15" s="109">
        <v>8</v>
      </c>
      <c r="D15" s="109">
        <v>8</v>
      </c>
      <c r="E15" s="109">
        <v>8</v>
      </c>
      <c r="F15" s="109">
        <v>8</v>
      </c>
      <c r="G15" s="109">
        <v>8</v>
      </c>
      <c r="H15" s="109">
        <v>8</v>
      </c>
      <c r="I15" s="109">
        <v>8</v>
      </c>
      <c r="J15" s="109">
        <v>8</v>
      </c>
      <c r="K15" s="79"/>
      <c r="L15" s="360"/>
      <c r="M15" s="46" t="s">
        <v>58</v>
      </c>
      <c r="N15" s="80"/>
      <c r="O15" s="28">
        <f t="shared" ref="O15:O21" si="6">INDEX(P15:S15,1,MATCH(C$9,P$2:S$2,0))</f>
        <v>1000</v>
      </c>
      <c r="P15" s="42">
        <v>125</v>
      </c>
      <c r="Q15" s="28">
        <v>250</v>
      </c>
      <c r="R15" s="28">
        <v>500</v>
      </c>
      <c r="S15" s="28">
        <v>1000</v>
      </c>
      <c r="T15" s="28"/>
      <c r="U15" s="27" t="s">
        <v>59</v>
      </c>
      <c r="V15" s="43">
        <f t="shared" si="5"/>
        <v>19.8</v>
      </c>
      <c r="W15" s="44">
        <v>19</v>
      </c>
      <c r="X15" s="45">
        <v>0.8</v>
      </c>
      <c r="Y15" s="114">
        <v>0.55000000000000004</v>
      </c>
      <c r="AH15" s="40"/>
    </row>
    <row r="16" spans="2:34" s="27" customFormat="1" ht="24.95" customHeight="1">
      <c r="B16" s="40" t="s">
        <v>60</v>
      </c>
      <c r="C16" s="110">
        <v>1</v>
      </c>
      <c r="D16" s="110">
        <v>4</v>
      </c>
      <c r="E16" s="110">
        <v>3</v>
      </c>
      <c r="F16" s="110">
        <v>3</v>
      </c>
      <c r="G16" s="110">
        <v>3</v>
      </c>
      <c r="H16" s="110">
        <v>3</v>
      </c>
      <c r="I16" s="110">
        <v>3</v>
      </c>
      <c r="J16" s="110">
        <v>3</v>
      </c>
      <c r="K16" s="399"/>
      <c r="L16" s="400"/>
      <c r="M16" s="46" t="s">
        <v>61</v>
      </c>
      <c r="N16" s="82" t="s">
        <v>62</v>
      </c>
      <c r="O16" s="49">
        <f t="shared" si="6"/>
        <v>0.66</v>
      </c>
      <c r="P16" s="49">
        <v>0.56000000000000005</v>
      </c>
      <c r="Q16" s="49">
        <v>0.56000000000000005</v>
      </c>
      <c r="R16" s="49">
        <v>0.63</v>
      </c>
      <c r="S16" s="49">
        <v>0.66</v>
      </c>
      <c r="T16" s="49"/>
      <c r="U16" s="27" t="s">
        <v>63</v>
      </c>
      <c r="V16" s="43">
        <f t="shared" si="5"/>
        <v>16.820599913279622</v>
      </c>
      <c r="W16" s="51">
        <f>10*LOG10(40)</f>
        <v>16.020599913279622</v>
      </c>
      <c r="X16" s="41">
        <v>0.8</v>
      </c>
      <c r="Y16" s="114">
        <v>0.6</v>
      </c>
      <c r="AH16" s="40"/>
    </row>
    <row r="17" spans="2:35" s="27" customFormat="1" ht="24.95" customHeight="1">
      <c r="B17" s="40" t="s">
        <v>42</v>
      </c>
      <c r="C17" s="111" t="s">
        <v>63</v>
      </c>
      <c r="D17" s="111" t="s">
        <v>63</v>
      </c>
      <c r="E17" s="111" t="s">
        <v>63</v>
      </c>
      <c r="F17" s="111" t="s">
        <v>63</v>
      </c>
      <c r="G17" s="111" t="s">
        <v>63</v>
      </c>
      <c r="H17" s="111" t="s">
        <v>63</v>
      </c>
      <c r="I17" s="111" t="s">
        <v>63</v>
      </c>
      <c r="J17" s="111" t="s">
        <v>63</v>
      </c>
      <c r="K17" s="392"/>
      <c r="L17" s="393"/>
      <c r="M17" s="46" t="s">
        <v>64</v>
      </c>
      <c r="N17" s="80" t="s">
        <v>65</v>
      </c>
      <c r="O17" s="52">
        <f t="shared" si="6"/>
        <v>156</v>
      </c>
      <c r="P17" s="53">
        <v>141</v>
      </c>
      <c r="Q17" s="52">
        <v>152</v>
      </c>
      <c r="R17" s="52">
        <v>155</v>
      </c>
      <c r="S17" s="52">
        <v>156</v>
      </c>
      <c r="T17" s="52"/>
      <c r="V17" s="39"/>
      <c r="AH17" s="40"/>
    </row>
    <row r="18" spans="2:35" s="27" customFormat="1" ht="24.95" hidden="1" customHeight="1">
      <c r="B18" s="40" t="s">
        <v>66</v>
      </c>
      <c r="C18" s="112">
        <f t="shared" ref="C18:J18" si="7">INDEX($V$12:$V$17,MATCH(C$17,$U$12:$U$17,0),1)</f>
        <v>16.820599913279622</v>
      </c>
      <c r="D18" s="112">
        <f t="shared" si="7"/>
        <v>16.820599913279622</v>
      </c>
      <c r="E18" s="112">
        <f t="shared" si="7"/>
        <v>16.820599913279622</v>
      </c>
      <c r="F18" s="112">
        <f t="shared" si="7"/>
        <v>16.820599913279622</v>
      </c>
      <c r="G18" s="112">
        <f t="shared" si="7"/>
        <v>16.820599913279622</v>
      </c>
      <c r="H18" s="112">
        <f t="shared" si="7"/>
        <v>16.820599913279622</v>
      </c>
      <c r="I18" s="112">
        <f t="shared" si="7"/>
        <v>16.820599913279622</v>
      </c>
      <c r="J18" s="112">
        <f t="shared" si="7"/>
        <v>16.820599913279622</v>
      </c>
      <c r="K18" s="81"/>
      <c r="L18" s="345"/>
      <c r="M18" s="54" t="s">
        <v>67</v>
      </c>
      <c r="N18" s="82" t="s">
        <v>68</v>
      </c>
      <c r="O18" s="49">
        <f t="shared" si="6"/>
        <v>0.6</v>
      </c>
      <c r="P18" s="50">
        <v>0.5</v>
      </c>
      <c r="Q18" s="49">
        <v>0.51</v>
      </c>
      <c r="R18" s="49">
        <v>0.6</v>
      </c>
      <c r="S18" s="49">
        <v>0.6</v>
      </c>
      <c r="T18" s="49"/>
      <c r="V18" s="401" t="s">
        <v>69</v>
      </c>
      <c r="W18" s="402"/>
      <c r="X18" s="401" t="s">
        <v>70</v>
      </c>
      <c r="Y18" s="402"/>
      <c r="AH18" s="40"/>
    </row>
    <row r="19" spans="2:35" s="27" customFormat="1" ht="24.95" customHeight="1" thickBot="1">
      <c r="B19" s="55" t="s">
        <v>71</v>
      </c>
      <c r="C19" s="113">
        <v>0</v>
      </c>
      <c r="D19" s="113">
        <v>0</v>
      </c>
      <c r="E19" s="113">
        <v>0</v>
      </c>
      <c r="F19" s="113">
        <v>0</v>
      </c>
      <c r="G19" s="113">
        <v>0</v>
      </c>
      <c r="H19" s="113">
        <v>0</v>
      </c>
      <c r="I19" s="113">
        <v>0</v>
      </c>
      <c r="J19" s="113">
        <v>0</v>
      </c>
      <c r="K19" s="72"/>
      <c r="L19" s="358"/>
      <c r="M19" s="46" t="s">
        <v>72</v>
      </c>
      <c r="N19" s="83" t="s">
        <v>73</v>
      </c>
      <c r="O19" s="52">
        <f t="shared" si="6"/>
        <v>104</v>
      </c>
      <c r="P19" s="53"/>
      <c r="Q19" s="52">
        <v>51</v>
      </c>
      <c r="R19" s="52">
        <v>69</v>
      </c>
      <c r="S19" s="52">
        <v>104</v>
      </c>
      <c r="T19" s="34"/>
      <c r="U19" s="29" t="s">
        <v>42</v>
      </c>
      <c r="V19" s="68" t="s">
        <v>74</v>
      </c>
      <c r="W19" s="115" t="s">
        <v>75</v>
      </c>
      <c r="X19" s="68" t="s">
        <v>74</v>
      </c>
      <c r="Y19" s="115" t="s">
        <v>75</v>
      </c>
      <c r="AH19" s="40"/>
    </row>
    <row r="20" spans="2:35" s="136" customFormat="1" ht="15" customHeight="1">
      <c r="B20" s="135" t="s">
        <v>76</v>
      </c>
      <c r="C20" s="403" t="s">
        <v>40</v>
      </c>
      <c r="D20" s="403"/>
      <c r="E20" s="403"/>
      <c r="F20" s="403"/>
      <c r="G20" s="403"/>
      <c r="H20" s="403"/>
      <c r="I20" s="403"/>
      <c r="J20" s="404"/>
      <c r="K20" s="377" t="s">
        <v>77</v>
      </c>
      <c r="L20" s="377" t="s">
        <v>78</v>
      </c>
      <c r="M20" s="228"/>
      <c r="N20" s="136" t="s">
        <v>79</v>
      </c>
      <c r="O20" s="136">
        <f t="shared" si="6"/>
        <v>1.1538461538461548E-3</v>
      </c>
      <c r="P20" s="136">
        <f>(P16-P18)/(P17-P19)</f>
        <v>4.255319148936174E-4</v>
      </c>
      <c r="Q20" s="136">
        <f>(Q16-Q18)/(Q17-Q19)</f>
        <v>4.9504950495049549E-4</v>
      </c>
      <c r="R20" s="136">
        <f t="shared" ref="R20:S20" si="8">(R16-R18)/(R17-R19)</f>
        <v>3.4883720930232591E-4</v>
      </c>
      <c r="S20" s="136">
        <f t="shared" si="8"/>
        <v>1.1538461538461548E-3</v>
      </c>
      <c r="T20" s="137"/>
      <c r="U20" s="136" t="s">
        <v>49</v>
      </c>
      <c r="V20" s="138" t="s">
        <v>80</v>
      </c>
      <c r="W20" s="139" t="s">
        <v>81</v>
      </c>
      <c r="X20" s="138" t="s">
        <v>82</v>
      </c>
      <c r="Y20" s="139" t="s">
        <v>83</v>
      </c>
    </row>
    <row r="21" spans="2:35" s="136" customFormat="1" ht="18" customHeight="1">
      <c r="B21" s="140"/>
      <c r="C21" s="375">
        <f t="shared" ref="C21:J21" si="9">C12</f>
        <v>1</v>
      </c>
      <c r="D21" s="375">
        <f t="shared" si="9"/>
        <v>2</v>
      </c>
      <c r="E21" s="375">
        <f t="shared" si="9"/>
        <v>3</v>
      </c>
      <c r="F21" s="375">
        <f t="shared" si="9"/>
        <v>4</v>
      </c>
      <c r="G21" s="375">
        <f t="shared" si="9"/>
        <v>5</v>
      </c>
      <c r="H21" s="375">
        <f t="shared" si="9"/>
        <v>6</v>
      </c>
      <c r="I21" s="375">
        <f t="shared" si="9"/>
        <v>7</v>
      </c>
      <c r="J21" s="141">
        <f t="shared" si="9"/>
        <v>8</v>
      </c>
      <c r="K21" s="375"/>
      <c r="L21" s="375"/>
      <c r="M21" s="381"/>
      <c r="N21" s="136" t="s">
        <v>84</v>
      </c>
      <c r="O21" s="143">
        <f t="shared" si="6"/>
        <v>0.47999999999999987</v>
      </c>
      <c r="P21" s="143">
        <f>P16-P17*P20</f>
        <v>0.5</v>
      </c>
      <c r="Q21" s="143">
        <f>Q16-Q17*Q20</f>
        <v>0.48475247524752474</v>
      </c>
      <c r="R21" s="143">
        <f t="shared" ref="R21:S21" si="10">R16-R17*R20</f>
        <v>0.57593023255813947</v>
      </c>
      <c r="S21" s="143">
        <f t="shared" si="10"/>
        <v>0.47999999999999987</v>
      </c>
      <c r="U21" s="136" t="s">
        <v>53</v>
      </c>
      <c r="V21" s="138" t="s">
        <v>85</v>
      </c>
      <c r="W21" s="139" t="s">
        <v>86</v>
      </c>
      <c r="X21" s="138" t="s">
        <v>87</v>
      </c>
      <c r="Y21" s="139" t="s">
        <v>82</v>
      </c>
    </row>
    <row r="22" spans="2:35" s="136" customFormat="1" ht="18" customHeight="1">
      <c r="B22" s="140" t="s">
        <v>88</v>
      </c>
      <c r="C22" s="144">
        <f t="shared" ref="C22:J22" si="11">IF(C14=$G6,0.0000001,C13*IF(C14=$G2,2,1)*C16*10^(C19/10))</f>
        <v>400</v>
      </c>
      <c r="D22" s="144">
        <f t="shared" si="11"/>
        <v>520</v>
      </c>
      <c r="E22" s="144">
        <f t="shared" si="11"/>
        <v>390</v>
      </c>
      <c r="F22" s="144">
        <f t="shared" si="11"/>
        <v>390</v>
      </c>
      <c r="G22" s="144">
        <f t="shared" si="11"/>
        <v>390</v>
      </c>
      <c r="H22" s="144">
        <f t="shared" si="11"/>
        <v>390</v>
      </c>
      <c r="I22" s="144">
        <f t="shared" si="11"/>
        <v>390</v>
      </c>
      <c r="J22" s="145">
        <f t="shared" si="11"/>
        <v>390</v>
      </c>
      <c r="K22" s="144">
        <f>SUM(C22:J22)</f>
        <v>3260</v>
      </c>
      <c r="L22" s="146">
        <f>10*LOG10(O$3/K22)</f>
        <v>3.8987238692400461</v>
      </c>
      <c r="M22" s="147" t="s">
        <v>89</v>
      </c>
      <c r="T22" s="143"/>
      <c r="U22" s="136" t="s">
        <v>56</v>
      </c>
      <c r="V22" s="138" t="s">
        <v>90</v>
      </c>
      <c r="W22" s="139" t="s">
        <v>91</v>
      </c>
      <c r="X22" s="138" t="s">
        <v>92</v>
      </c>
      <c r="Y22" s="139" t="s">
        <v>93</v>
      </c>
    </row>
    <row r="23" spans="2:35" s="136" customFormat="1" ht="18" hidden="1" customHeight="1">
      <c r="B23" s="140" t="s">
        <v>94</v>
      </c>
      <c r="C23" s="148">
        <f t="shared" ref="C23:J23" si="12">C22*2*10^(-C18/10)</f>
        <v>16.635275422053425</v>
      </c>
      <c r="D23" s="148">
        <f t="shared" si="12"/>
        <v>21.625858048669453</v>
      </c>
      <c r="E23" s="148">
        <f t="shared" si="12"/>
        <v>16.219393536502089</v>
      </c>
      <c r="F23" s="148">
        <f t="shared" si="12"/>
        <v>16.219393536502089</v>
      </c>
      <c r="G23" s="148">
        <f t="shared" si="12"/>
        <v>16.219393536502089</v>
      </c>
      <c r="H23" s="148">
        <f t="shared" si="12"/>
        <v>16.219393536502089</v>
      </c>
      <c r="I23" s="148">
        <f t="shared" si="12"/>
        <v>16.219393536502089</v>
      </c>
      <c r="J23" s="149">
        <f t="shared" si="12"/>
        <v>16.219393536502089</v>
      </c>
      <c r="K23" s="148">
        <f>SUM(C23:J23)</f>
        <v>135.5774946897354</v>
      </c>
      <c r="L23" s="146">
        <f>IF(K23&gt;0,10*LOG10(O$7/K23),100)</f>
        <v>8.0694210609969446</v>
      </c>
      <c r="M23" s="150" t="str">
        <f>IF(L23&lt;-0.01,CONCATENATE("The sustainable total average power is limited to ",O7," W"),"")</f>
        <v/>
      </c>
      <c r="N23" s="136" t="s">
        <v>95</v>
      </c>
      <c r="O23" s="151">
        <f>INDEX(P23:S23,1,MATCH(C$9,P$2:S$2,0))</f>
        <v>43</v>
      </c>
      <c r="P23" s="151">
        <v>43</v>
      </c>
      <c r="Q23" s="151">
        <v>43</v>
      </c>
      <c r="R23" s="151">
        <v>43</v>
      </c>
      <c r="S23" s="151">
        <v>43</v>
      </c>
      <c r="T23" s="152"/>
      <c r="U23" s="136" t="s">
        <v>59</v>
      </c>
      <c r="V23" s="138" t="s">
        <v>96</v>
      </c>
      <c r="W23" s="139" t="s">
        <v>97</v>
      </c>
      <c r="X23" s="138" t="s">
        <v>98</v>
      </c>
      <c r="Y23" s="139" t="s">
        <v>92</v>
      </c>
      <c r="AI23" s="153"/>
    </row>
    <row r="24" spans="2:35" s="136" customFormat="1" ht="18" hidden="1" customHeight="1">
      <c r="B24" s="140" t="s">
        <v>99</v>
      </c>
      <c r="C24" s="154">
        <f>SQRT(C22*2*C26)</f>
        <v>80</v>
      </c>
      <c r="D24" s="154">
        <f t="shared" ref="D24:J24" si="13">SQRT(D22*2*D26)</f>
        <v>45.607017003965517</v>
      </c>
      <c r="E24" s="154">
        <f t="shared" si="13"/>
        <v>45.607017003965517</v>
      </c>
      <c r="F24" s="154">
        <f t="shared" si="13"/>
        <v>45.607017003965517</v>
      </c>
      <c r="G24" s="154">
        <f t="shared" si="13"/>
        <v>45.607017003965517</v>
      </c>
      <c r="H24" s="154">
        <f t="shared" si="13"/>
        <v>45.607017003965517</v>
      </c>
      <c r="I24" s="154">
        <f t="shared" si="13"/>
        <v>45.607017003965517</v>
      </c>
      <c r="J24" s="155">
        <f t="shared" si="13"/>
        <v>45.607017003965517</v>
      </c>
      <c r="K24" s="154">
        <f>MAX(C24:J24)</f>
        <v>80</v>
      </c>
      <c r="L24" s="146"/>
      <c r="M24" s="147"/>
      <c r="N24" s="136" t="s">
        <v>100</v>
      </c>
      <c r="O24" s="156">
        <f>INDEX(P24:S24,1,MATCH(C$9,P$2:S$2,0))</f>
        <v>1</v>
      </c>
      <c r="P24" s="156">
        <f>406/(115*3.61)</f>
        <v>0.97795977357581598</v>
      </c>
      <c r="Q24" s="156">
        <f>406/(115*3.61)</f>
        <v>0.97795977357581598</v>
      </c>
      <c r="R24" s="156">
        <f>729/(115*6.44)</f>
        <v>0.98433702403456658</v>
      </c>
      <c r="S24" s="156">
        <f>1380/(115*12)</f>
        <v>1</v>
      </c>
      <c r="T24" s="152"/>
      <c r="U24" s="136" t="s">
        <v>63</v>
      </c>
      <c r="V24" s="157" t="s">
        <v>90</v>
      </c>
      <c r="W24" s="158" t="s">
        <v>91</v>
      </c>
      <c r="X24" s="157" t="s">
        <v>92</v>
      </c>
      <c r="Y24" s="158" t="s">
        <v>93</v>
      </c>
    </row>
    <row r="25" spans="2:35" s="136" customFormat="1" ht="18" hidden="1" customHeight="1">
      <c r="B25" s="140" t="s">
        <v>101</v>
      </c>
      <c r="C25" s="159">
        <f t="shared" ref="C25:F25" si="14">SQRT(C22*2/C27)</f>
        <v>11.359236684941296</v>
      </c>
      <c r="D25" s="159">
        <f t="shared" si="14"/>
        <v>24.733877696033691</v>
      </c>
      <c r="E25" s="159">
        <f t="shared" si="14"/>
        <v>18.829377433825435</v>
      </c>
      <c r="F25" s="159">
        <f t="shared" si="14"/>
        <v>18.829377433825435</v>
      </c>
      <c r="G25" s="159">
        <f>SQRT(G22*2/G27)</f>
        <v>18.829377433825435</v>
      </c>
      <c r="H25" s="159">
        <f t="shared" ref="H25:J25" si="15">SQRT(H22*2/H27)</f>
        <v>18.829377433825435</v>
      </c>
      <c r="I25" s="159">
        <f t="shared" si="15"/>
        <v>18.829377433825435</v>
      </c>
      <c r="J25" s="160">
        <f t="shared" si="15"/>
        <v>18.829377433825435</v>
      </c>
      <c r="K25" s="154"/>
      <c r="L25" s="146"/>
      <c r="M25" s="147"/>
      <c r="O25" s="156"/>
      <c r="P25" s="156"/>
      <c r="Q25" s="156"/>
      <c r="R25" s="156"/>
      <c r="S25" s="156"/>
      <c r="T25" s="152"/>
    </row>
    <row r="26" spans="2:35" s="136" customFormat="1" ht="18" customHeight="1">
      <c r="B26" s="140" t="s">
        <v>102</v>
      </c>
      <c r="C26" s="161">
        <f t="shared" ref="C26:J26" si="16">IF(IF(C14=$G2,C15/C16,IF(C14=$G6,10000,INDEX($H2:$H6,MATCH(C14,$G2:$G6,0),1)^2/2/C22))&gt;=2,IF(C14=$G2,C15/C16,IF(C14=$G6,10000,INDEX($H2:$H6,MATCH(C14,$G2:$G6,0),1)^2/2/C22)),NA())</f>
        <v>8</v>
      </c>
      <c r="D26" s="161">
        <f t="shared" si="16"/>
        <v>2</v>
      </c>
      <c r="E26" s="161">
        <f t="shared" si="16"/>
        <v>2.6666666666666665</v>
      </c>
      <c r="F26" s="161">
        <f t="shared" si="16"/>
        <v>2.6666666666666665</v>
      </c>
      <c r="G26" s="161">
        <f t="shared" si="16"/>
        <v>2.6666666666666665</v>
      </c>
      <c r="H26" s="161">
        <f t="shared" si="16"/>
        <v>2.6666666666666665</v>
      </c>
      <c r="I26" s="161">
        <f t="shared" si="16"/>
        <v>2.6666666666666665</v>
      </c>
      <c r="J26" s="162">
        <f t="shared" si="16"/>
        <v>2.6666666666666665</v>
      </c>
      <c r="K26" s="163"/>
      <c r="L26" s="163"/>
      <c r="M26" s="147" t="s">
        <v>103</v>
      </c>
      <c r="N26" s="136" t="s">
        <v>104</v>
      </c>
      <c r="O26" s="165">
        <f>INDEX(P26:S26,1,MATCH(C$9,P$2:S$2,0))</f>
        <v>1632</v>
      </c>
      <c r="P26" s="165">
        <f t="shared" ref="P26:S26" si="17">P12/P24*1.2</f>
        <v>307.98812807881768</v>
      </c>
      <c r="Q26" s="165">
        <f t="shared" si="17"/>
        <v>505.54226600985214</v>
      </c>
      <c r="R26" s="165">
        <f t="shared" si="17"/>
        <v>882.62452674897122</v>
      </c>
      <c r="S26" s="165">
        <f t="shared" si="17"/>
        <v>1632</v>
      </c>
      <c r="T26" s="165"/>
    </row>
    <row r="27" spans="2:35" s="136" customFormat="1" ht="18" hidden="1" customHeight="1" thickBot="1">
      <c r="B27" s="166" t="s">
        <v>105</v>
      </c>
      <c r="C27" s="167">
        <f t="shared" ref="C27:J27" si="18">IF(RIGHT(C14,1)="V",C26*0.85+0.4,C26*0.75+0.2)</f>
        <v>6.2</v>
      </c>
      <c r="D27" s="167">
        <f t="shared" si="18"/>
        <v>1.7</v>
      </c>
      <c r="E27" s="167">
        <f t="shared" si="18"/>
        <v>2.2000000000000002</v>
      </c>
      <c r="F27" s="167">
        <f t="shared" si="18"/>
        <v>2.2000000000000002</v>
      </c>
      <c r="G27" s="167">
        <f t="shared" si="18"/>
        <v>2.2000000000000002</v>
      </c>
      <c r="H27" s="167">
        <f t="shared" si="18"/>
        <v>2.2000000000000002</v>
      </c>
      <c r="I27" s="167">
        <f t="shared" si="18"/>
        <v>2.2000000000000002</v>
      </c>
      <c r="J27" s="168">
        <f t="shared" si="18"/>
        <v>2.2000000000000002</v>
      </c>
      <c r="K27" s="169"/>
      <c r="L27" s="169"/>
      <c r="M27" s="170" t="s">
        <v>106</v>
      </c>
      <c r="N27" s="171"/>
      <c r="O27" s="172">
        <f>INDEX(P27:S27,1,MATCH(C$9,P$2:S$2,0))</f>
        <v>13</v>
      </c>
      <c r="P27" s="172">
        <v>3</v>
      </c>
      <c r="Q27" s="172">
        <v>6</v>
      </c>
      <c r="R27" s="172">
        <v>11</v>
      </c>
      <c r="S27" s="172">
        <v>13</v>
      </c>
      <c r="T27" s="172"/>
    </row>
    <row r="28" spans="2:35" s="136" customFormat="1" ht="18" hidden="1" customHeight="1">
      <c r="C28" s="161"/>
      <c r="D28" s="161"/>
      <c r="E28" s="161"/>
      <c r="F28" s="161"/>
      <c r="G28" s="161"/>
      <c r="H28" s="161"/>
      <c r="I28" s="161"/>
      <c r="J28" s="162"/>
      <c r="K28" s="174"/>
      <c r="L28" s="174"/>
      <c r="M28" s="175"/>
      <c r="N28" s="176"/>
      <c r="O28" s="172"/>
      <c r="P28" s="172"/>
      <c r="Q28" s="172"/>
      <c r="R28" s="172"/>
      <c r="S28" s="172"/>
      <c r="T28" s="172"/>
    </row>
    <row r="29" spans="2:35" s="136" customFormat="1" ht="18" hidden="1" customHeight="1">
      <c r="B29" s="136" t="s">
        <v>78</v>
      </c>
      <c r="C29" s="146">
        <f>MIN(20*LOG10(1/MAX(C$25/$O$11,C$24/$O$10)),10*LOG10($O$8/C$22))</f>
        <v>-4.4369749923271282</v>
      </c>
      <c r="D29" s="146">
        <f t="shared" ref="D29:J29" si="19">MIN(20*LOG10(1/MAX(D$25/$O$11,D$24/$O$10)),10*LOG10($O$8/D$22))</f>
        <v>0.44419139788412987</v>
      </c>
      <c r="E29" s="146">
        <f t="shared" si="19"/>
        <v>0.44419139788412987</v>
      </c>
      <c r="F29" s="146">
        <f t="shared" si="19"/>
        <v>0.44419139788412987</v>
      </c>
      <c r="G29" s="146">
        <f t="shared" si="19"/>
        <v>0.44419139788412987</v>
      </c>
      <c r="H29" s="146">
        <f t="shared" si="19"/>
        <v>0.44419139788412987</v>
      </c>
      <c r="I29" s="146">
        <f t="shared" si="19"/>
        <v>0.44419139788412987</v>
      </c>
      <c r="J29" s="177">
        <f t="shared" si="19"/>
        <v>0.44419139788412987</v>
      </c>
      <c r="K29" s="174"/>
      <c r="L29" s="174"/>
      <c r="M29" s="175"/>
      <c r="N29" s="176"/>
      <c r="O29" s="172"/>
      <c r="P29" s="172"/>
      <c r="Q29" s="172"/>
      <c r="R29" s="172"/>
      <c r="S29" s="172"/>
      <c r="T29" s="172"/>
    </row>
    <row r="30" spans="2:35" s="136" customFormat="1" ht="15.95" hidden="1" customHeight="1">
      <c r="B30" s="178" t="s">
        <v>107</v>
      </c>
      <c r="J30" s="179"/>
      <c r="K30" s="163"/>
      <c r="L30" s="163"/>
      <c r="M30" s="164"/>
    </row>
    <row r="31" spans="2:35" s="136" customFormat="1" ht="15.95" hidden="1" customHeight="1">
      <c r="B31" s="178" t="s">
        <v>108</v>
      </c>
      <c r="C31" s="180">
        <f t="shared" ref="C31:J31" si="20">MIN(C22,$O$8)</f>
        <v>400</v>
      </c>
      <c r="D31" s="180">
        <f t="shared" si="20"/>
        <v>520</v>
      </c>
      <c r="E31" s="180">
        <f t="shared" si="20"/>
        <v>390</v>
      </c>
      <c r="F31" s="180">
        <f t="shared" si="20"/>
        <v>390</v>
      </c>
      <c r="G31" s="180">
        <f t="shared" si="20"/>
        <v>390</v>
      </c>
      <c r="H31" s="180">
        <f t="shared" si="20"/>
        <v>390</v>
      </c>
      <c r="I31" s="180">
        <f t="shared" si="20"/>
        <v>390</v>
      </c>
      <c r="J31" s="181">
        <f t="shared" si="20"/>
        <v>390</v>
      </c>
      <c r="K31" s="163"/>
      <c r="L31" s="163"/>
      <c r="M31" s="164"/>
    </row>
    <row r="32" spans="2:35" s="136" customFormat="1" ht="15.95" hidden="1" customHeight="1">
      <c r="B32" s="178" t="s">
        <v>109</v>
      </c>
      <c r="C32" s="180">
        <f t="shared" ref="C32:J32" si="21">MIN(C31,$O11^2/2/C26)</f>
        <v>400</v>
      </c>
      <c r="D32" s="180">
        <f t="shared" si="21"/>
        <v>520</v>
      </c>
      <c r="E32" s="180">
        <f t="shared" si="21"/>
        <v>390</v>
      </c>
      <c r="F32" s="180">
        <f t="shared" si="21"/>
        <v>390</v>
      </c>
      <c r="G32" s="180">
        <f t="shared" si="21"/>
        <v>390</v>
      </c>
      <c r="H32" s="180">
        <f t="shared" si="21"/>
        <v>390</v>
      </c>
      <c r="I32" s="180">
        <f t="shared" si="21"/>
        <v>390</v>
      </c>
      <c r="J32" s="181">
        <f t="shared" si="21"/>
        <v>390</v>
      </c>
      <c r="K32" s="163"/>
      <c r="L32" s="163"/>
      <c r="M32" s="164"/>
    </row>
    <row r="33" spans="2:19" s="136" customFormat="1" ht="15.95" hidden="1" customHeight="1">
      <c r="B33" s="178" t="s">
        <v>110</v>
      </c>
      <c r="C33" s="180">
        <f>MIN(($O10^2*C27)/2,C32)</f>
        <v>400</v>
      </c>
      <c r="D33" s="180">
        <f t="shared" ref="D33:J33" si="22">MIN(($O10^2*D27)/2,D32)</f>
        <v>520</v>
      </c>
      <c r="E33" s="180">
        <f t="shared" si="22"/>
        <v>390</v>
      </c>
      <c r="F33" s="180">
        <f t="shared" si="22"/>
        <v>390</v>
      </c>
      <c r="G33" s="180">
        <f t="shared" si="22"/>
        <v>390</v>
      </c>
      <c r="H33" s="180">
        <f t="shared" si="22"/>
        <v>390</v>
      </c>
      <c r="I33" s="180">
        <f t="shared" si="22"/>
        <v>390</v>
      </c>
      <c r="J33" s="180">
        <f t="shared" si="22"/>
        <v>390</v>
      </c>
      <c r="K33" s="163"/>
      <c r="L33" s="163"/>
      <c r="M33" s="164"/>
    </row>
    <row r="34" spans="2:19" s="136" customFormat="1" ht="15.95" hidden="1" customHeight="1">
      <c r="B34" s="136" t="s">
        <v>111</v>
      </c>
      <c r="C34" s="148">
        <f>IF(C22*10^($L22/10)&gt;$O8,$O8,C22*10^($L22/10))</f>
        <v>981.59509202454012</v>
      </c>
      <c r="D34" s="148">
        <f t="shared" ref="D34:J34" si="23">IF(D22*10^($L22/10)&gt;$O8,$O8,D22*10^($L22/10))</f>
        <v>1276.0736196319021</v>
      </c>
      <c r="E34" s="148">
        <f t="shared" si="23"/>
        <v>957.05521472392661</v>
      </c>
      <c r="F34" s="148">
        <f t="shared" si="23"/>
        <v>957.05521472392661</v>
      </c>
      <c r="G34" s="148">
        <f t="shared" si="23"/>
        <v>957.05521472392661</v>
      </c>
      <c r="H34" s="148">
        <f t="shared" si="23"/>
        <v>957.05521472392661</v>
      </c>
      <c r="I34" s="148">
        <f t="shared" si="23"/>
        <v>957.05521472392661</v>
      </c>
      <c r="J34" s="149">
        <f t="shared" si="23"/>
        <v>957.05521472392661</v>
      </c>
      <c r="K34" s="148">
        <f>SUM(C34:J34)</f>
        <v>8000.0000000000027</v>
      </c>
      <c r="L34" s="163"/>
      <c r="M34" s="164"/>
    </row>
    <row r="35" spans="2:19" s="136" customFormat="1" ht="15.95" hidden="1" customHeight="1">
      <c r="B35" s="136" t="s">
        <v>99</v>
      </c>
      <c r="C35" s="154">
        <f t="shared" ref="C35:J35" si="24">SQRT(C34*C$26*2)</f>
        <v>125.32167199807319</v>
      </c>
      <c r="D35" s="154">
        <f t="shared" si="24"/>
        <v>71.444345322268916</v>
      </c>
      <c r="E35" s="154">
        <f t="shared" si="24"/>
        <v>71.444345322268916</v>
      </c>
      <c r="F35" s="154">
        <f t="shared" si="24"/>
        <v>71.444345322268916</v>
      </c>
      <c r="G35" s="154">
        <f t="shared" si="24"/>
        <v>71.444345322268916</v>
      </c>
      <c r="H35" s="154">
        <f t="shared" si="24"/>
        <v>71.444345322268916</v>
      </c>
      <c r="I35" s="154">
        <f t="shared" si="24"/>
        <v>71.444345322268916</v>
      </c>
      <c r="J35" s="155">
        <f t="shared" si="24"/>
        <v>71.444345322268916</v>
      </c>
      <c r="K35" s="163"/>
      <c r="L35" s="163"/>
      <c r="M35" s="164"/>
    </row>
    <row r="36" spans="2:19" s="136" customFormat="1" ht="15.95" hidden="1" customHeight="1">
      <c r="B36" s="136" t="s">
        <v>101</v>
      </c>
      <c r="C36" s="159">
        <f t="shared" ref="C36:J36" si="25">(C35/C$27)</f>
        <v>20.21317290291503</v>
      </c>
      <c r="D36" s="159">
        <f t="shared" si="25"/>
        <v>42.026085483687602</v>
      </c>
      <c r="E36" s="159">
        <f t="shared" si="25"/>
        <v>32.474702419213138</v>
      </c>
      <c r="F36" s="159">
        <f t="shared" si="25"/>
        <v>32.474702419213138</v>
      </c>
      <c r="G36" s="159">
        <f t="shared" si="25"/>
        <v>32.474702419213138</v>
      </c>
      <c r="H36" s="159">
        <f t="shared" si="25"/>
        <v>32.474702419213138</v>
      </c>
      <c r="I36" s="159">
        <f t="shared" si="25"/>
        <v>32.474702419213138</v>
      </c>
      <c r="J36" s="160">
        <f t="shared" si="25"/>
        <v>32.474702419213138</v>
      </c>
      <c r="K36" s="163"/>
      <c r="L36" s="163"/>
      <c r="M36" s="164"/>
    </row>
    <row r="37" spans="2:19" s="136" customFormat="1" ht="15.95" hidden="1" customHeight="1">
      <c r="B37" s="136" t="s">
        <v>78</v>
      </c>
      <c r="C37" s="146">
        <f>MIN(20*LOG10(1/MAX(C$35/$O$11,C$36/$O$10)),10*LOG10($O$8/C$34))</f>
        <v>2.1218760440395776</v>
      </c>
      <c r="D37" s="146">
        <f>MIN(20*LOG10(1/MAX(D$35/$O$11,D$36/$O$10)),10*LOG10($O$8/D$34))</f>
        <v>1.1544459562095606</v>
      </c>
      <c r="E37" s="146">
        <f t="shared" ref="E37:J37" si="26">20*LOG10(1/MAX(E35/$O11,E36/$O10))</f>
        <v>3.3939211450882087</v>
      </c>
      <c r="F37" s="146">
        <f t="shared" si="26"/>
        <v>3.3939211450882087</v>
      </c>
      <c r="G37" s="146">
        <f t="shared" si="26"/>
        <v>3.3939211450882087</v>
      </c>
      <c r="H37" s="146">
        <f t="shared" si="26"/>
        <v>3.3939211450882087</v>
      </c>
      <c r="I37" s="146">
        <f t="shared" si="26"/>
        <v>3.3939211450882087</v>
      </c>
      <c r="J37" s="177">
        <f t="shared" si="26"/>
        <v>3.3939211450882087</v>
      </c>
      <c r="K37" s="163"/>
      <c r="L37" s="163"/>
      <c r="M37" s="164"/>
    </row>
    <row r="38" spans="2:19" s="136" customFormat="1" ht="15.95" hidden="1" customHeight="1">
      <c r="B38" s="178" t="s">
        <v>112</v>
      </c>
      <c r="J38" s="179"/>
      <c r="K38" s="163"/>
      <c r="L38" s="163"/>
      <c r="M38" s="164"/>
    </row>
    <row r="39" spans="2:19" s="136" customFormat="1" ht="15.95" hidden="1" customHeight="1">
      <c r="B39" s="136" t="s">
        <v>113</v>
      </c>
      <c r="C39" s="182">
        <f t="shared" ref="C39:J39" si="27">SQRT(C40/C34)</f>
        <v>0.63835726674018511</v>
      </c>
      <c r="D39" s="182">
        <f t="shared" si="27"/>
        <v>0.63835726674018511</v>
      </c>
      <c r="E39" s="182">
        <f t="shared" si="27"/>
        <v>0.63835726674018511</v>
      </c>
      <c r="F39" s="182">
        <f t="shared" si="27"/>
        <v>0.63835726674018511</v>
      </c>
      <c r="G39" s="182">
        <f t="shared" si="27"/>
        <v>0.63835726674018511</v>
      </c>
      <c r="H39" s="182">
        <f t="shared" si="27"/>
        <v>0.63835726674018511</v>
      </c>
      <c r="I39" s="182">
        <f t="shared" si="27"/>
        <v>0.63835726674018511</v>
      </c>
      <c r="J39" s="183">
        <f t="shared" si="27"/>
        <v>0.63835726674018511</v>
      </c>
      <c r="K39" s="163"/>
      <c r="L39" s="163"/>
      <c r="M39" s="164"/>
      <c r="N39" s="184" t="s">
        <v>114</v>
      </c>
    </row>
    <row r="40" spans="2:19" s="136" customFormat="1" ht="15.95" hidden="1" customHeight="1">
      <c r="B40" s="136" t="s">
        <v>111</v>
      </c>
      <c r="C40" s="148">
        <f t="shared" ref="C40:J40" si="28">MIN(C34,C33)</f>
        <v>400</v>
      </c>
      <c r="D40" s="148">
        <f t="shared" si="28"/>
        <v>520</v>
      </c>
      <c r="E40" s="148">
        <f t="shared" si="28"/>
        <v>390</v>
      </c>
      <c r="F40" s="148">
        <f t="shared" si="28"/>
        <v>390</v>
      </c>
      <c r="G40" s="148">
        <f t="shared" si="28"/>
        <v>390</v>
      </c>
      <c r="H40" s="148">
        <f t="shared" si="28"/>
        <v>390</v>
      </c>
      <c r="I40" s="148">
        <f t="shared" si="28"/>
        <v>390</v>
      </c>
      <c r="J40" s="149">
        <f t="shared" si="28"/>
        <v>390</v>
      </c>
      <c r="K40" s="148">
        <f>SUM(C40:J40)</f>
        <v>3260</v>
      </c>
      <c r="L40" s="146">
        <f>10*LOG10(O$3/K40)</f>
        <v>3.8987238692400461</v>
      </c>
      <c r="M40" s="147"/>
      <c r="N40" s="148">
        <f>IF(C$39&lt;1,0,C40)+IF(D$39&lt;1,0,D40)+IF(E$39&lt;1,0,E40)+IF(J$39&lt;1,0,J40)</f>
        <v>0</v>
      </c>
    </row>
    <row r="41" spans="2:19" s="136" customFormat="1" ht="15.95" hidden="1" customHeight="1">
      <c r="B41" s="136" t="s">
        <v>99</v>
      </c>
      <c r="C41" s="154">
        <f t="shared" ref="C41:J42" si="29">C35*C$39</f>
        <v>79.999999999999986</v>
      </c>
      <c r="D41" s="154">
        <f t="shared" si="29"/>
        <v>45.607017003965517</v>
      </c>
      <c r="E41" s="154">
        <f t="shared" si="29"/>
        <v>45.607017003965517</v>
      </c>
      <c r="F41" s="154">
        <f t="shared" si="29"/>
        <v>45.607017003965517</v>
      </c>
      <c r="G41" s="154">
        <f t="shared" si="29"/>
        <v>45.607017003965517</v>
      </c>
      <c r="H41" s="154">
        <f t="shared" si="29"/>
        <v>45.607017003965517</v>
      </c>
      <c r="I41" s="154">
        <f t="shared" si="29"/>
        <v>45.607017003965517</v>
      </c>
      <c r="J41" s="155">
        <f t="shared" si="29"/>
        <v>45.607017003965517</v>
      </c>
      <c r="K41" s="163"/>
      <c r="L41" s="185">
        <f>K34-K40</f>
        <v>4740.0000000000027</v>
      </c>
      <c r="M41" s="186"/>
      <c r="N41" s="148">
        <f>IF(C$39&lt;1,0,C22)+IF(D$39&lt;1,0,D22)+IF(E$39&lt;1,0,E22)+IF(J$39&lt;1,0,J22)</f>
        <v>0</v>
      </c>
    </row>
    <row r="42" spans="2:19" s="136" customFormat="1" ht="15.95" hidden="1" customHeight="1">
      <c r="B42" s="136" t="s">
        <v>101</v>
      </c>
      <c r="C42" s="159">
        <f t="shared" si="29"/>
        <v>12.903225806451612</v>
      </c>
      <c r="D42" s="159">
        <f t="shared" si="29"/>
        <v>26.827657061156188</v>
      </c>
      <c r="E42" s="159">
        <f t="shared" si="29"/>
        <v>20.730462274529774</v>
      </c>
      <c r="F42" s="159">
        <f t="shared" si="29"/>
        <v>20.730462274529774</v>
      </c>
      <c r="G42" s="159">
        <f t="shared" si="29"/>
        <v>20.730462274529774</v>
      </c>
      <c r="H42" s="159">
        <f t="shared" si="29"/>
        <v>20.730462274529774</v>
      </c>
      <c r="I42" s="159">
        <f t="shared" si="29"/>
        <v>20.730462274529774</v>
      </c>
      <c r="J42" s="160">
        <f t="shared" si="29"/>
        <v>20.730462274529774</v>
      </c>
      <c r="K42" s="163"/>
      <c r="L42" s="182">
        <f>IF(N40&gt;0,SQRT((MIN(L41,N42)+N40)/N40),1)</f>
        <v>1</v>
      </c>
      <c r="M42" s="187"/>
      <c r="N42" s="185">
        <f>N41-N40</f>
        <v>0</v>
      </c>
    </row>
    <row r="43" spans="2:19" s="136" customFormat="1" ht="15.95" hidden="1" customHeight="1">
      <c r="B43" s="178" t="s">
        <v>115</v>
      </c>
      <c r="J43" s="179"/>
      <c r="K43" s="163"/>
      <c r="L43" s="163"/>
      <c r="M43" s="164"/>
    </row>
    <row r="44" spans="2:19" s="136" customFormat="1" ht="15.95" hidden="1" customHeight="1">
      <c r="B44" s="136" t="s">
        <v>116</v>
      </c>
      <c r="C44" s="182">
        <f t="shared" ref="C44:J44" si="30">SQRT(C45/C40)</f>
        <v>1</v>
      </c>
      <c r="D44" s="182">
        <f t="shared" si="30"/>
        <v>1</v>
      </c>
      <c r="E44" s="182">
        <f t="shared" si="30"/>
        <v>1</v>
      </c>
      <c r="F44" s="182">
        <f t="shared" si="30"/>
        <v>1</v>
      </c>
      <c r="G44" s="182">
        <f t="shared" si="30"/>
        <v>1</v>
      </c>
      <c r="H44" s="182">
        <f t="shared" si="30"/>
        <v>1</v>
      </c>
      <c r="I44" s="182">
        <f t="shared" si="30"/>
        <v>1</v>
      </c>
      <c r="J44" s="183">
        <f t="shared" si="30"/>
        <v>1</v>
      </c>
      <c r="K44" s="163"/>
      <c r="L44" s="163"/>
      <c r="M44" s="164"/>
    </row>
    <row r="45" spans="2:19" s="136" customFormat="1" ht="15.95" hidden="1" customHeight="1">
      <c r="B45" s="136" t="s">
        <v>111</v>
      </c>
      <c r="C45" s="148">
        <f t="shared" ref="C45:J45" si="31">IF(C40&lt;0,C40,MIN($L42^2*C40,C33))</f>
        <v>400</v>
      </c>
      <c r="D45" s="148">
        <f t="shared" si="31"/>
        <v>520</v>
      </c>
      <c r="E45" s="148">
        <f t="shared" si="31"/>
        <v>390</v>
      </c>
      <c r="F45" s="148">
        <f t="shared" si="31"/>
        <v>390</v>
      </c>
      <c r="G45" s="148">
        <f t="shared" si="31"/>
        <v>390</v>
      </c>
      <c r="H45" s="148">
        <f t="shared" si="31"/>
        <v>390</v>
      </c>
      <c r="I45" s="148">
        <f t="shared" si="31"/>
        <v>390</v>
      </c>
      <c r="J45" s="149">
        <f t="shared" si="31"/>
        <v>390</v>
      </c>
      <c r="K45" s="148">
        <f>SUM(C45:J45)</f>
        <v>3260</v>
      </c>
      <c r="L45" s="146">
        <f>10*LOG10(O$3/K45)</f>
        <v>3.8987238692400461</v>
      </c>
      <c r="M45" s="147"/>
      <c r="N45" s="148">
        <f>IF(C$48&gt;0,C45,0)+IF(D$48&gt;0,D45,0)+IF(E$48&gt;0,E45,0)+IF(J$48&gt;0,J45,0)</f>
        <v>1700</v>
      </c>
      <c r="O45" s="153">
        <f>O3-K45</f>
        <v>4740</v>
      </c>
      <c r="P45" s="153">
        <f>P3-L45</f>
        <v>996.10127613075997</v>
      </c>
      <c r="Q45" s="153">
        <f>Q3-L45</f>
        <v>1996.10127613076</v>
      </c>
      <c r="R45" s="153">
        <f>R3-L45</f>
        <v>3996.1012761307597</v>
      </c>
      <c r="S45" s="153">
        <f>S3-L45</f>
        <v>7996.1012761307602</v>
      </c>
    </row>
    <row r="46" spans="2:19" s="136" customFormat="1" ht="15.95" hidden="1" customHeight="1">
      <c r="B46" s="136" t="s">
        <v>99</v>
      </c>
      <c r="C46" s="154">
        <f t="shared" ref="C46:J46" si="32">SQRT(C45*C$26*2)</f>
        <v>80</v>
      </c>
      <c r="D46" s="154">
        <f t="shared" si="32"/>
        <v>45.607017003965517</v>
      </c>
      <c r="E46" s="154">
        <f t="shared" si="32"/>
        <v>45.607017003965517</v>
      </c>
      <c r="F46" s="154">
        <f t="shared" si="32"/>
        <v>45.607017003965517</v>
      </c>
      <c r="G46" s="154">
        <f t="shared" si="32"/>
        <v>45.607017003965517</v>
      </c>
      <c r="H46" s="154">
        <f t="shared" si="32"/>
        <v>45.607017003965517</v>
      </c>
      <c r="I46" s="154">
        <f t="shared" si="32"/>
        <v>45.607017003965517</v>
      </c>
      <c r="J46" s="155">
        <f t="shared" si="32"/>
        <v>45.607017003965517</v>
      </c>
      <c r="K46" s="163"/>
      <c r="L46" s="163"/>
      <c r="M46" s="164"/>
      <c r="N46" s="148">
        <f>IF(C49&gt;0,C46,0)+IF(D49&gt;0,D46,0)+IF(E49&gt;0,E46,0)+IF(J49&gt;0,J46,0)</f>
        <v>0</v>
      </c>
    </row>
    <row r="47" spans="2:19" s="188" customFormat="1" ht="15.95" hidden="1" customHeight="1">
      <c r="B47" s="188" t="s">
        <v>101</v>
      </c>
      <c r="C47" s="189">
        <f t="shared" ref="C47:J47" si="33">C46/C$27</f>
        <v>12.903225806451612</v>
      </c>
      <c r="D47" s="189">
        <f t="shared" si="33"/>
        <v>26.827657061156188</v>
      </c>
      <c r="E47" s="189">
        <f t="shared" si="33"/>
        <v>20.730462274529778</v>
      </c>
      <c r="F47" s="189">
        <f t="shared" si="33"/>
        <v>20.730462274529778</v>
      </c>
      <c r="G47" s="189">
        <f t="shared" si="33"/>
        <v>20.730462274529778</v>
      </c>
      <c r="H47" s="189">
        <f t="shared" si="33"/>
        <v>20.730462274529778</v>
      </c>
      <c r="I47" s="189">
        <f t="shared" si="33"/>
        <v>20.730462274529778</v>
      </c>
      <c r="J47" s="190">
        <f t="shared" si="33"/>
        <v>20.730462274529778</v>
      </c>
      <c r="K47" s="191"/>
      <c r="L47" s="192">
        <f>IF(N46&gt;0,SQRT((N45+O45)/N45),1)</f>
        <v>1</v>
      </c>
      <c r="M47" s="193"/>
    </row>
    <row r="48" spans="2:19" s="136" customFormat="1" ht="15.95" hidden="1" customHeight="1">
      <c r="B48" s="136" t="s">
        <v>78</v>
      </c>
      <c r="C48" s="146">
        <f t="shared" ref="C48:J48" si="34">MIN(20*LOG10(1/MAX(C46/$O$11,C47/$O$10)),10*LOG10($O$8/C45))</f>
        <v>6.0205999132796242</v>
      </c>
      <c r="D48" s="146">
        <f t="shared" si="34"/>
        <v>5.053169825449606</v>
      </c>
      <c r="E48" s="146">
        <f t="shared" si="34"/>
        <v>7.0996538863748206</v>
      </c>
      <c r="F48" s="146">
        <f t="shared" si="34"/>
        <v>7.0996538863748206</v>
      </c>
      <c r="G48" s="146">
        <f t="shared" si="34"/>
        <v>7.0996538863748206</v>
      </c>
      <c r="H48" s="146">
        <f t="shared" si="34"/>
        <v>7.0996538863748206</v>
      </c>
      <c r="I48" s="146">
        <f t="shared" si="34"/>
        <v>7.0996538863748206</v>
      </c>
      <c r="J48" s="177">
        <f t="shared" si="34"/>
        <v>7.0996538863748206</v>
      </c>
      <c r="K48" s="163"/>
      <c r="L48" s="163"/>
      <c r="M48" s="164"/>
    </row>
    <row r="49" spans="2:13" s="136" customFormat="1" ht="15.95" hidden="1" customHeight="1">
      <c r="B49" s="178" t="s">
        <v>117</v>
      </c>
      <c r="J49" s="179"/>
      <c r="K49" s="163"/>
      <c r="L49" s="163"/>
      <c r="M49" s="164"/>
    </row>
    <row r="50" spans="2:13" s="136" customFormat="1" ht="15.95" hidden="1" customHeight="1">
      <c r="B50" s="136" t="s">
        <v>118</v>
      </c>
      <c r="C50" s="182">
        <f t="shared" ref="C50:J50" si="35">IF(C48&lt;0,10^(C48/20),IF(C48&gt;0,$L47,1))</f>
        <v>1</v>
      </c>
      <c r="D50" s="182">
        <f t="shared" si="35"/>
        <v>1</v>
      </c>
      <c r="E50" s="182">
        <f t="shared" si="35"/>
        <v>1</v>
      </c>
      <c r="F50" s="182">
        <f t="shared" si="35"/>
        <v>1</v>
      </c>
      <c r="G50" s="182">
        <f t="shared" si="35"/>
        <v>1</v>
      </c>
      <c r="H50" s="182">
        <f t="shared" si="35"/>
        <v>1</v>
      </c>
      <c r="I50" s="182">
        <f t="shared" si="35"/>
        <v>1</v>
      </c>
      <c r="J50" s="183">
        <f t="shared" si="35"/>
        <v>1</v>
      </c>
      <c r="K50" s="148"/>
      <c r="L50" s="163"/>
      <c r="M50" s="164"/>
    </row>
    <row r="51" spans="2:13" s="136" customFormat="1" ht="15.95" hidden="1" customHeight="1">
      <c r="B51" s="136" t="s">
        <v>119</v>
      </c>
      <c r="C51" s="182"/>
      <c r="D51" s="182"/>
      <c r="E51" s="182"/>
      <c r="F51" s="182"/>
      <c r="G51" s="182"/>
      <c r="H51" s="182"/>
      <c r="I51" s="182"/>
      <c r="J51" s="183"/>
      <c r="K51" s="148"/>
      <c r="L51" s="163"/>
      <c r="M51" s="164"/>
    </row>
    <row r="52" spans="2:13" s="194" customFormat="1" hidden="1">
      <c r="J52" s="195"/>
      <c r="K52" s="196"/>
      <c r="L52" s="196"/>
      <c r="M52" s="197"/>
    </row>
    <row r="53" spans="2:13" s="194" customFormat="1" hidden="1">
      <c r="J53" s="195"/>
      <c r="K53" s="196"/>
      <c r="L53" s="196"/>
      <c r="M53" s="197"/>
    </row>
    <row r="54" spans="2:13" s="194" customFormat="1" hidden="1">
      <c r="J54" s="195"/>
      <c r="K54" s="196"/>
      <c r="L54" s="196"/>
      <c r="M54" s="197"/>
    </row>
    <row r="55" spans="2:13" s="194" customFormat="1" hidden="1">
      <c r="J55" s="195"/>
      <c r="K55" s="196"/>
      <c r="L55" s="196"/>
      <c r="M55" s="197"/>
    </row>
    <row r="56" spans="2:13" s="194" customFormat="1" hidden="1">
      <c r="J56" s="195"/>
      <c r="K56" s="196"/>
      <c r="L56" s="196"/>
      <c r="M56" s="197"/>
    </row>
    <row r="57" spans="2:13" s="194" customFormat="1" hidden="1">
      <c r="J57" s="195"/>
      <c r="K57" s="196"/>
      <c r="L57" s="196"/>
      <c r="M57" s="197"/>
    </row>
    <row r="58" spans="2:13" s="194" customFormat="1" hidden="1">
      <c r="J58" s="195"/>
      <c r="K58" s="196"/>
      <c r="L58" s="196"/>
      <c r="M58" s="197"/>
    </row>
    <row r="59" spans="2:13" s="194" customFormat="1" hidden="1">
      <c r="J59" s="195"/>
      <c r="K59" s="196"/>
      <c r="L59" s="196"/>
      <c r="M59" s="197"/>
    </row>
    <row r="60" spans="2:13" s="194" customFormat="1" hidden="1">
      <c r="J60" s="195"/>
      <c r="K60" s="196"/>
      <c r="L60" s="196"/>
      <c r="M60" s="197"/>
    </row>
    <row r="61" spans="2:13" s="194" customFormat="1" hidden="1">
      <c r="J61" s="195"/>
      <c r="K61" s="196"/>
      <c r="L61" s="196"/>
      <c r="M61" s="197"/>
    </row>
    <row r="62" spans="2:13" s="194" customFormat="1" hidden="1">
      <c r="J62" s="195"/>
      <c r="K62" s="196"/>
      <c r="L62" s="196"/>
      <c r="M62" s="197"/>
    </row>
    <row r="63" spans="2:13" s="194" customFormat="1" hidden="1">
      <c r="J63" s="195"/>
      <c r="K63" s="196"/>
      <c r="L63" s="196"/>
      <c r="M63" s="197"/>
    </row>
    <row r="64" spans="2:13" s="194" customFormat="1" hidden="1">
      <c r="J64" s="195"/>
      <c r="K64" s="196"/>
      <c r="L64" s="196"/>
      <c r="M64" s="197"/>
    </row>
    <row r="65" spans="2:13" s="194" customFormat="1" hidden="1">
      <c r="J65" s="195"/>
      <c r="K65" s="196"/>
      <c r="L65" s="196"/>
      <c r="M65" s="197"/>
    </row>
    <row r="66" spans="2:13" s="194" customFormat="1" hidden="1">
      <c r="J66" s="195"/>
      <c r="K66" s="196"/>
      <c r="L66" s="196"/>
      <c r="M66" s="197"/>
    </row>
    <row r="67" spans="2:13" s="194" customFormat="1" hidden="1">
      <c r="J67" s="195"/>
      <c r="K67" s="196"/>
      <c r="L67" s="196"/>
      <c r="M67" s="197"/>
    </row>
    <row r="68" spans="2:13" s="194" customFormat="1" hidden="1">
      <c r="J68" s="195"/>
      <c r="K68" s="196"/>
      <c r="L68" s="196"/>
      <c r="M68" s="197"/>
    </row>
    <row r="69" spans="2:13" s="194" customFormat="1" hidden="1">
      <c r="J69" s="195"/>
      <c r="K69" s="196"/>
      <c r="L69" s="196"/>
      <c r="M69" s="197"/>
    </row>
    <row r="70" spans="2:13" s="194" customFormat="1" hidden="1">
      <c r="J70" s="195"/>
      <c r="K70" s="196"/>
      <c r="L70" s="196"/>
      <c r="M70" s="197"/>
    </row>
    <row r="71" spans="2:13" s="194" customFormat="1" hidden="1">
      <c r="J71" s="195"/>
      <c r="K71" s="196"/>
      <c r="L71" s="196"/>
      <c r="M71" s="197"/>
    </row>
    <row r="72" spans="2:13" s="194" customFormat="1" hidden="1">
      <c r="J72" s="195"/>
      <c r="K72" s="196"/>
      <c r="L72" s="196"/>
      <c r="M72" s="197"/>
    </row>
    <row r="73" spans="2:13" s="194" customFormat="1" hidden="1">
      <c r="J73" s="195"/>
      <c r="K73" s="196"/>
      <c r="L73" s="196"/>
      <c r="M73" s="197"/>
    </row>
    <row r="74" spans="2:13" s="194" customFormat="1" hidden="1">
      <c r="J74" s="195"/>
      <c r="K74" s="196"/>
      <c r="L74" s="196"/>
      <c r="M74" s="197"/>
    </row>
    <row r="75" spans="2:13" s="194" customFormat="1" hidden="1">
      <c r="J75" s="195"/>
      <c r="K75" s="196"/>
      <c r="L75" s="196"/>
      <c r="M75" s="197"/>
    </row>
    <row r="76" spans="2:13" s="194" customFormat="1" hidden="1">
      <c r="J76" s="195"/>
      <c r="K76" s="196"/>
      <c r="L76" s="196"/>
      <c r="M76" s="197"/>
    </row>
    <row r="77" spans="2:13" s="194" customFormat="1" hidden="1">
      <c r="J77" s="195"/>
      <c r="K77" s="196"/>
      <c r="L77" s="196"/>
      <c r="M77" s="197"/>
    </row>
    <row r="78" spans="2:13" s="194" customFormat="1" hidden="1">
      <c r="J78" s="195"/>
      <c r="K78" s="196"/>
      <c r="L78" s="196"/>
      <c r="M78" s="197"/>
    </row>
    <row r="79" spans="2:13" s="194" customFormat="1" hidden="1">
      <c r="J79" s="195"/>
      <c r="K79" s="196"/>
      <c r="L79" s="196"/>
      <c r="M79" s="197"/>
    </row>
    <row r="80" spans="2:13" s="136" customFormat="1" ht="15.95" hidden="1" customHeight="1">
      <c r="B80" s="136" t="s">
        <v>120</v>
      </c>
      <c r="C80" s="148">
        <f t="shared" ref="C80:J80" si="36">10^(C121/10)*C23</f>
        <v>16.635275422053425</v>
      </c>
      <c r="D80" s="148">
        <f t="shared" si="36"/>
        <v>21.625858048669453</v>
      </c>
      <c r="E80" s="148">
        <f t="shared" si="36"/>
        <v>16.219393536502089</v>
      </c>
      <c r="F80" s="148">
        <f t="shared" si="36"/>
        <v>16.219393536502089</v>
      </c>
      <c r="G80" s="148">
        <f t="shared" si="36"/>
        <v>16.219393536502089</v>
      </c>
      <c r="H80" s="148">
        <f t="shared" si="36"/>
        <v>16.219393536502089</v>
      </c>
      <c r="I80" s="148">
        <f t="shared" si="36"/>
        <v>16.219393536502089</v>
      </c>
      <c r="J80" s="149">
        <f t="shared" si="36"/>
        <v>16.219393536502089</v>
      </c>
      <c r="K80" s="148">
        <f>SUM(C80:J80)</f>
        <v>135.5774946897354</v>
      </c>
      <c r="L80" s="163"/>
      <c r="M80" s="164"/>
    </row>
    <row r="81" spans="2:23" s="136" customFormat="1" ht="15.95" hidden="1" customHeight="1">
      <c r="B81" s="136" t="s">
        <v>121</v>
      </c>
      <c r="C81" s="148">
        <f t="shared" ref="C81:J81" si="37">10^($L23/10)*C23</f>
        <v>106.65276073619631</v>
      </c>
      <c r="D81" s="148">
        <f t="shared" si="37"/>
        <v>138.64858895705521</v>
      </c>
      <c r="E81" s="148">
        <f t="shared" si="37"/>
        <v>103.98644171779141</v>
      </c>
      <c r="F81" s="148">
        <f t="shared" si="37"/>
        <v>103.98644171779141</v>
      </c>
      <c r="G81" s="148">
        <f t="shared" si="37"/>
        <v>103.98644171779141</v>
      </c>
      <c r="H81" s="148">
        <f t="shared" si="37"/>
        <v>103.98644171779141</v>
      </c>
      <c r="I81" s="148">
        <f t="shared" si="37"/>
        <v>103.98644171779141</v>
      </c>
      <c r="J81" s="149">
        <f t="shared" si="37"/>
        <v>103.98644171779141</v>
      </c>
      <c r="K81" s="148">
        <f>SUM(C81:J81)</f>
        <v>869.22</v>
      </c>
      <c r="L81" s="163"/>
      <c r="M81" s="164"/>
    </row>
    <row r="82" spans="2:23" s="136" customFormat="1" ht="15.95" hidden="1" customHeight="1">
      <c r="B82" s="136" t="s">
        <v>122</v>
      </c>
      <c r="C82" s="148">
        <f t="shared" ref="C82:J82" si="38">AVERAGE(C80,C81)</f>
        <v>61.644018079124869</v>
      </c>
      <c r="D82" s="148">
        <f t="shared" si="38"/>
        <v>80.137223502862327</v>
      </c>
      <c r="E82" s="148">
        <f t="shared" si="38"/>
        <v>60.102917627146752</v>
      </c>
      <c r="F82" s="148">
        <f t="shared" si="38"/>
        <v>60.102917627146752</v>
      </c>
      <c r="G82" s="148">
        <f t="shared" si="38"/>
        <v>60.102917627146752</v>
      </c>
      <c r="H82" s="148">
        <f t="shared" si="38"/>
        <v>60.102917627146752</v>
      </c>
      <c r="I82" s="148">
        <f t="shared" si="38"/>
        <v>60.102917627146752</v>
      </c>
      <c r="J82" s="149">
        <f t="shared" si="38"/>
        <v>60.102917627146752</v>
      </c>
      <c r="K82" s="148">
        <f>SUM(C82:J82)</f>
        <v>502.39874734486784</v>
      </c>
      <c r="L82" s="146">
        <f>10*LOG10(O$7/K82)</f>
        <v>2.3808116262063113</v>
      </c>
      <c r="M82" s="147"/>
    </row>
    <row r="83" spans="2:23" s="136" customFormat="1" ht="15.95" hidden="1" customHeight="1">
      <c r="B83" s="136" t="s">
        <v>122</v>
      </c>
      <c r="C83" s="148">
        <f t="shared" ref="C83:J83" si="39">MIN(10^($L82/10)*C82,C23)</f>
        <v>16.635275422053425</v>
      </c>
      <c r="D83" s="148">
        <f t="shared" si="39"/>
        <v>21.625858048669453</v>
      </c>
      <c r="E83" s="148">
        <f t="shared" si="39"/>
        <v>16.219393536502089</v>
      </c>
      <c r="F83" s="148">
        <f t="shared" si="39"/>
        <v>16.219393536502089</v>
      </c>
      <c r="G83" s="148">
        <f t="shared" si="39"/>
        <v>16.219393536502089</v>
      </c>
      <c r="H83" s="148">
        <f t="shared" si="39"/>
        <v>16.219393536502089</v>
      </c>
      <c r="I83" s="148">
        <f t="shared" si="39"/>
        <v>16.219393536502089</v>
      </c>
      <c r="J83" s="149">
        <f t="shared" si="39"/>
        <v>16.219393536502089</v>
      </c>
      <c r="K83" s="148">
        <f>SUM(C83:J83)</f>
        <v>135.5774946897354</v>
      </c>
      <c r="L83" s="163"/>
      <c r="M83" s="164"/>
      <c r="N83" s="148">
        <f>IF(C$84&lt;1,0,C83)+IF(D$84&lt;1,0,D83)+IF(E$84&lt;1,0,E83)+IF(J$84&lt;1,0,J83)</f>
        <v>70.69992054372706</v>
      </c>
    </row>
    <row r="84" spans="2:23" s="136" customFormat="1" ht="15.95" hidden="1" customHeight="1">
      <c r="B84" s="136" t="s">
        <v>123</v>
      </c>
      <c r="C84" s="182">
        <f t="shared" ref="C84:J84" si="40">C83/C23</f>
        <v>1</v>
      </c>
      <c r="D84" s="182">
        <f t="shared" si="40"/>
        <v>1</v>
      </c>
      <c r="E84" s="182">
        <f t="shared" si="40"/>
        <v>1</v>
      </c>
      <c r="F84" s="182">
        <f t="shared" si="40"/>
        <v>1</v>
      </c>
      <c r="G84" s="182">
        <f t="shared" si="40"/>
        <v>1</v>
      </c>
      <c r="H84" s="182">
        <f t="shared" si="40"/>
        <v>1</v>
      </c>
      <c r="I84" s="182">
        <f t="shared" si="40"/>
        <v>1</v>
      </c>
      <c r="J84" s="183">
        <f t="shared" si="40"/>
        <v>1</v>
      </c>
      <c r="K84" s="148"/>
      <c r="L84" s="182">
        <f>IF(N84&gt;0,(N84+O84)/N84,1)</f>
        <v>1</v>
      </c>
      <c r="M84" s="187"/>
      <c r="N84" s="148">
        <f>K83-N83</f>
        <v>64.877574146008342</v>
      </c>
      <c r="O84" s="153">
        <f>MIN(K23,O7)-K83</f>
        <v>0</v>
      </c>
      <c r="Q84" s="153"/>
      <c r="R84" s="153"/>
      <c r="S84" s="153"/>
    </row>
    <row r="85" spans="2:23" s="136" customFormat="1" ht="17.25" hidden="1" customHeight="1" thickBot="1">
      <c r="J85" s="179"/>
      <c r="K85" s="148"/>
      <c r="L85" s="163"/>
      <c r="M85" s="164"/>
      <c r="N85" s="136" t="s">
        <v>124</v>
      </c>
      <c r="O85" s="151">
        <f>O23/O86</f>
        <v>5.375</v>
      </c>
      <c r="Q85" s="151"/>
      <c r="R85" s="151"/>
      <c r="S85" s="151"/>
    </row>
    <row r="86" spans="2:23" s="136" customFormat="1" ht="15" hidden="1" customHeight="1">
      <c r="B86" s="135" t="s">
        <v>125</v>
      </c>
      <c r="C86" s="405" t="s">
        <v>40</v>
      </c>
      <c r="D86" s="405"/>
      <c r="E86" s="405"/>
      <c r="F86" s="405"/>
      <c r="G86" s="405"/>
      <c r="H86" s="405"/>
      <c r="I86" s="405"/>
      <c r="J86" s="406"/>
      <c r="K86" s="198" t="s">
        <v>77</v>
      </c>
      <c r="L86" s="199" t="s">
        <v>78</v>
      </c>
      <c r="M86" s="200"/>
      <c r="N86" s="136" t="s">
        <v>126</v>
      </c>
      <c r="O86" s="201">
        <f>INDEX(P86:S86,1,MATCH(C$9,P$2:S$2,0))</f>
        <v>8</v>
      </c>
      <c r="P86" s="136">
        <v>8</v>
      </c>
      <c r="Q86" s="136">
        <v>8</v>
      </c>
      <c r="R86" s="136">
        <v>8</v>
      </c>
      <c r="S86" s="136">
        <v>8</v>
      </c>
    </row>
    <row r="87" spans="2:23" s="136" customFormat="1" ht="15.95" hidden="1" customHeight="1">
      <c r="B87" s="140" t="s">
        <v>111</v>
      </c>
      <c r="C87" s="148">
        <f t="shared" ref="C87:J87" si="41">MIN(C45*C$50^2,C33)</f>
        <v>400</v>
      </c>
      <c r="D87" s="148">
        <f t="shared" si="41"/>
        <v>520</v>
      </c>
      <c r="E87" s="148">
        <f t="shared" si="41"/>
        <v>390</v>
      </c>
      <c r="F87" s="148">
        <f t="shared" si="41"/>
        <v>390</v>
      </c>
      <c r="G87" s="148">
        <f t="shared" si="41"/>
        <v>390</v>
      </c>
      <c r="H87" s="148">
        <f t="shared" si="41"/>
        <v>390</v>
      </c>
      <c r="I87" s="148">
        <f t="shared" si="41"/>
        <v>390</v>
      </c>
      <c r="J87" s="149">
        <f t="shared" si="41"/>
        <v>390</v>
      </c>
      <c r="K87" s="148">
        <f>SUM(C87:J87)</f>
        <v>3260</v>
      </c>
      <c r="L87" s="146">
        <f>10*LOG10(O$3/K87)</f>
        <v>3.8987238692400461</v>
      </c>
      <c r="M87" s="147"/>
      <c r="N87" s="148">
        <f>IF(C$50&lt;1,0,C87)+IF(D$50&lt;1,0,D87)+IF(E$50&lt;1,0,E87)+IF(J$50&lt;1,0,J87)</f>
        <v>1700</v>
      </c>
    </row>
    <row r="88" spans="2:23" s="136" customFormat="1" ht="15.95" hidden="1" customHeight="1">
      <c r="B88" s="202" t="s">
        <v>94</v>
      </c>
      <c r="C88" s="148">
        <f t="shared" ref="C88:J88" si="42">MIN(C23,IF(C84&lt;1,$L84,1)*C83)</f>
        <v>16.635275422053425</v>
      </c>
      <c r="D88" s="148">
        <f t="shared" si="42"/>
        <v>21.625858048669453</v>
      </c>
      <c r="E88" s="148">
        <f t="shared" si="42"/>
        <v>16.219393536502089</v>
      </c>
      <c r="F88" s="148">
        <f t="shared" si="42"/>
        <v>16.219393536502089</v>
      </c>
      <c r="G88" s="148">
        <f t="shared" si="42"/>
        <v>16.219393536502089</v>
      </c>
      <c r="H88" s="148">
        <f t="shared" si="42"/>
        <v>16.219393536502089</v>
      </c>
      <c r="I88" s="148">
        <f t="shared" si="42"/>
        <v>16.219393536502089</v>
      </c>
      <c r="J88" s="149">
        <f t="shared" si="42"/>
        <v>16.219393536502089</v>
      </c>
      <c r="K88" s="148">
        <f>SUM(C88:J88)</f>
        <v>135.5774946897354</v>
      </c>
      <c r="L88" s="146">
        <f>10*LOG10(O$7/K88)</f>
        <v>8.0694210609969446</v>
      </c>
      <c r="M88" s="147"/>
      <c r="N88" s="148"/>
    </row>
    <row r="89" spans="2:23" s="136" customFormat="1" ht="15.95" hidden="1" customHeight="1">
      <c r="B89" s="202" t="s">
        <v>127</v>
      </c>
      <c r="C89" s="203">
        <f t="shared" ref="C89:J89" si="43">SQRT(C88*C$26)*10^(C$94/20)</f>
        <v>12.64911064067352</v>
      </c>
      <c r="D89" s="203">
        <f t="shared" si="43"/>
        <v>7.21110255092798</v>
      </c>
      <c r="E89" s="203">
        <f t="shared" si="43"/>
        <v>7.2111025509279791</v>
      </c>
      <c r="F89" s="203">
        <f t="shared" si="43"/>
        <v>7.2111025509279791</v>
      </c>
      <c r="G89" s="203">
        <f t="shared" si="43"/>
        <v>7.2111025509279791</v>
      </c>
      <c r="H89" s="203">
        <f t="shared" si="43"/>
        <v>7.2111025509279791</v>
      </c>
      <c r="I89" s="203">
        <f t="shared" si="43"/>
        <v>7.2111025509279791</v>
      </c>
      <c r="J89" s="204">
        <f t="shared" si="43"/>
        <v>7.2111025509279791</v>
      </c>
      <c r="K89" s="205"/>
      <c r="L89" s="206"/>
      <c r="M89" s="207"/>
      <c r="N89" s="148"/>
    </row>
    <row r="90" spans="2:23" s="136" customFormat="1" ht="15.95" hidden="1" customHeight="1">
      <c r="B90" s="140" t="s">
        <v>128</v>
      </c>
      <c r="C90" s="208">
        <f t="shared" ref="C90:J90" si="44">C23*10^(C122/10)</f>
        <v>16.635275422053425</v>
      </c>
      <c r="D90" s="208">
        <f t="shared" si="44"/>
        <v>21.625858048669457</v>
      </c>
      <c r="E90" s="208">
        <f t="shared" si="44"/>
        <v>16.219393536502089</v>
      </c>
      <c r="F90" s="208">
        <f t="shared" si="44"/>
        <v>16.219393536502089</v>
      </c>
      <c r="G90" s="208">
        <f t="shared" si="44"/>
        <v>16.219393536502089</v>
      </c>
      <c r="H90" s="208">
        <f t="shared" si="44"/>
        <v>16.219393536502089</v>
      </c>
      <c r="I90" s="208">
        <f t="shared" si="44"/>
        <v>16.219393536502089</v>
      </c>
      <c r="J90" s="209">
        <f t="shared" si="44"/>
        <v>16.219393536502089</v>
      </c>
      <c r="K90" s="148">
        <f>SUM(C90:J90)</f>
        <v>135.5774946897354</v>
      </c>
      <c r="L90" s="146">
        <f>10*LOG10(K90/K23)</f>
        <v>0</v>
      </c>
      <c r="M90" s="147"/>
      <c r="N90" s="148"/>
    </row>
    <row r="91" spans="2:23" s="136" customFormat="1" ht="15.95" hidden="1" customHeight="1">
      <c r="B91" s="210" t="s">
        <v>129</v>
      </c>
      <c r="C91" s="154">
        <f t="shared" ref="C91:J91" si="45">C46*C$50</f>
        <v>80</v>
      </c>
      <c r="D91" s="154">
        <f t="shared" si="45"/>
        <v>45.607017003965517</v>
      </c>
      <c r="E91" s="154">
        <f t="shared" si="45"/>
        <v>45.607017003965517</v>
      </c>
      <c r="F91" s="154">
        <f t="shared" si="45"/>
        <v>45.607017003965517</v>
      </c>
      <c r="G91" s="154">
        <f t="shared" si="45"/>
        <v>45.607017003965517</v>
      </c>
      <c r="H91" s="154">
        <f t="shared" si="45"/>
        <v>45.607017003965517</v>
      </c>
      <c r="I91" s="154">
        <f t="shared" si="45"/>
        <v>45.607017003965517</v>
      </c>
      <c r="J91" s="155">
        <f t="shared" si="45"/>
        <v>45.607017003965517</v>
      </c>
      <c r="K91" s="205">
        <f>MAX(C91:J91)</f>
        <v>80</v>
      </c>
      <c r="L91" s="206">
        <f>K45-K87</f>
        <v>0</v>
      </c>
      <c r="M91" s="207"/>
      <c r="N91" s="148">
        <f>IF(C$50&lt;1,0,C22)+IF(D$50&lt;1,0,D22)+IF(E$50&lt;1,0,E22)+IF(J$50&lt;1,0,J22)</f>
        <v>1700</v>
      </c>
    </row>
    <row r="92" spans="2:23" s="136" customFormat="1" ht="15.95" hidden="1" customHeight="1">
      <c r="B92" s="210" t="s">
        <v>130</v>
      </c>
      <c r="C92" s="154">
        <f t="shared" ref="C92:J92" si="46">SQRT(C90*C$26)*10^(C$94/20)</f>
        <v>12.64911064067352</v>
      </c>
      <c r="D92" s="154">
        <f t="shared" si="46"/>
        <v>7.2111025509279809</v>
      </c>
      <c r="E92" s="154">
        <f t="shared" si="46"/>
        <v>7.2111025509279791</v>
      </c>
      <c r="F92" s="154">
        <f t="shared" si="46"/>
        <v>7.2111025509279791</v>
      </c>
      <c r="G92" s="154">
        <f t="shared" si="46"/>
        <v>7.2111025509279791</v>
      </c>
      <c r="H92" s="154">
        <f t="shared" si="46"/>
        <v>7.2111025509279791</v>
      </c>
      <c r="I92" s="154">
        <f t="shared" si="46"/>
        <v>7.2111025509279791</v>
      </c>
      <c r="J92" s="155">
        <f t="shared" si="46"/>
        <v>7.2111025509279791</v>
      </c>
      <c r="K92" s="205"/>
      <c r="L92" s="136">
        <f>SQRT(E117*2*E24)</f>
        <v>57.165684499328165</v>
      </c>
      <c r="M92" s="211"/>
      <c r="W92" s="148"/>
    </row>
    <row r="93" spans="2:23" s="136" customFormat="1" ht="15.95" hidden="1" customHeight="1">
      <c r="B93" s="212" t="s">
        <v>131</v>
      </c>
      <c r="C93" s="146">
        <f t="shared" ref="C93:J93" si="47">-INDEX($W$12:$W$16,MATCH(C$17,$U$12:$U$16,0),1)</f>
        <v>-16.020599913279622</v>
      </c>
      <c r="D93" s="146">
        <f t="shared" si="47"/>
        <v>-16.020599913279622</v>
      </c>
      <c r="E93" s="146">
        <f t="shared" si="47"/>
        <v>-16.020599913279622</v>
      </c>
      <c r="F93" s="146">
        <f t="shared" si="47"/>
        <v>-16.020599913279622</v>
      </c>
      <c r="G93" s="146">
        <f t="shared" si="47"/>
        <v>-16.020599913279622</v>
      </c>
      <c r="H93" s="146">
        <f t="shared" si="47"/>
        <v>-16.020599913279622</v>
      </c>
      <c r="I93" s="146">
        <f t="shared" si="47"/>
        <v>-16.020599913279622</v>
      </c>
      <c r="J93" s="177">
        <f t="shared" si="47"/>
        <v>-16.020599913279622</v>
      </c>
      <c r="K93" s="205"/>
      <c r="L93" s="136">
        <f>SQRT(E118*2*E26)</f>
        <v>45.607017003965517</v>
      </c>
      <c r="M93" s="211"/>
      <c r="W93" s="148"/>
    </row>
    <row r="94" spans="2:23" s="136" customFormat="1" hidden="1">
      <c r="B94" s="213" t="s">
        <v>132</v>
      </c>
      <c r="C94" s="146">
        <f t="shared" ref="C94:J94" si="48">C18+C93</f>
        <v>0.80000000000000071</v>
      </c>
      <c r="D94" s="146">
        <f t="shared" si="48"/>
        <v>0.80000000000000071</v>
      </c>
      <c r="E94" s="146">
        <f t="shared" si="48"/>
        <v>0.80000000000000071</v>
      </c>
      <c r="F94" s="146">
        <f t="shared" si="48"/>
        <v>0.80000000000000071</v>
      </c>
      <c r="G94" s="146">
        <f t="shared" si="48"/>
        <v>0.80000000000000071</v>
      </c>
      <c r="H94" s="146">
        <f t="shared" si="48"/>
        <v>0.80000000000000071</v>
      </c>
      <c r="I94" s="146">
        <f t="shared" si="48"/>
        <v>0.80000000000000071</v>
      </c>
      <c r="J94" s="177">
        <f t="shared" si="48"/>
        <v>0.80000000000000071</v>
      </c>
      <c r="K94" s="205"/>
      <c r="M94" s="211"/>
      <c r="W94" s="148"/>
    </row>
    <row r="95" spans="2:23" s="136" customFormat="1" ht="15.95" hidden="1" customHeight="1">
      <c r="B95" s="202" t="s">
        <v>133</v>
      </c>
      <c r="C95" s="214">
        <f t="shared" ref="C95:J95" si="49">C47*C$50</f>
        <v>12.903225806451612</v>
      </c>
      <c r="D95" s="214">
        <f t="shared" si="49"/>
        <v>26.827657061156188</v>
      </c>
      <c r="E95" s="214">
        <f t="shared" si="49"/>
        <v>20.730462274529778</v>
      </c>
      <c r="F95" s="214">
        <f t="shared" si="49"/>
        <v>20.730462274529778</v>
      </c>
      <c r="G95" s="214">
        <f t="shared" si="49"/>
        <v>20.730462274529778</v>
      </c>
      <c r="H95" s="214">
        <f t="shared" si="49"/>
        <v>20.730462274529778</v>
      </c>
      <c r="I95" s="214">
        <f t="shared" si="49"/>
        <v>20.730462274529778</v>
      </c>
      <c r="J95" s="215">
        <f t="shared" si="49"/>
        <v>20.730462274529778</v>
      </c>
      <c r="K95" s="163"/>
      <c r="L95" s="216">
        <f>(MIN(L91,N95)+N87)/N87</f>
        <v>1</v>
      </c>
      <c r="M95" s="217"/>
      <c r="N95" s="185">
        <f>N91-N87</f>
        <v>0</v>
      </c>
    </row>
    <row r="96" spans="2:23" s="136" customFormat="1" ht="18" hidden="1" customHeight="1">
      <c r="B96" s="140" t="str">
        <f>IF(LEN($C9)&gt;5,"Set switches to","")</f>
        <v>Set switches to</v>
      </c>
      <c r="C96" s="218" t="str">
        <f t="shared" ref="C96:J96" si="50">IF(LEN($B96)&lt;1,"",IF(C$14=$G2,IF(C$91&lt;$O9,"Lo-Z",IF(C$91&gt;100,$G$3,$G$4)),C$14))</f>
        <v>Lo-Z</v>
      </c>
      <c r="D96" s="218" t="str">
        <f t="shared" si="50"/>
        <v>Lo-Z</v>
      </c>
      <c r="E96" s="218" t="str">
        <f t="shared" si="50"/>
        <v>Lo-Z</v>
      </c>
      <c r="F96" s="218" t="str">
        <f t="shared" si="50"/>
        <v>Lo-Z</v>
      </c>
      <c r="G96" s="218" t="str">
        <f t="shared" si="50"/>
        <v>Lo-Z</v>
      </c>
      <c r="H96" s="218" t="str">
        <f t="shared" si="50"/>
        <v>Lo-Z</v>
      </c>
      <c r="I96" s="218" t="str">
        <f t="shared" si="50"/>
        <v>Lo-Z</v>
      </c>
      <c r="J96" s="218" t="str">
        <f t="shared" si="50"/>
        <v>Lo-Z</v>
      </c>
      <c r="L96" s="216"/>
      <c r="M96" s="147" t="s">
        <v>134</v>
      </c>
      <c r="N96" s="185"/>
    </row>
    <row r="97" spans="2:19" s="136" customFormat="1" ht="18" hidden="1" customHeight="1">
      <c r="B97" s="140"/>
      <c r="C97" s="218"/>
      <c r="D97" s="218"/>
      <c r="E97" s="218"/>
      <c r="F97" s="218"/>
      <c r="G97" s="218"/>
      <c r="H97" s="218"/>
      <c r="I97" s="218"/>
      <c r="J97" s="219"/>
      <c r="L97" s="216"/>
      <c r="M97" s="220"/>
      <c r="N97" s="185"/>
    </row>
    <row r="98" spans="2:19" s="136" customFormat="1" ht="18" hidden="1" customHeight="1">
      <c r="B98" s="221" t="s">
        <v>135</v>
      </c>
      <c r="C98" s="218"/>
      <c r="D98" s="218"/>
      <c r="E98" s="218"/>
      <c r="F98" s="218"/>
      <c r="G98" s="218"/>
      <c r="H98" s="218"/>
      <c r="I98" s="218"/>
      <c r="J98" s="219"/>
      <c r="L98" s="216"/>
      <c r="M98" s="220"/>
      <c r="N98" s="185"/>
    </row>
    <row r="99" spans="2:19" s="136" customFormat="1" ht="18" hidden="1" customHeight="1">
      <c r="B99" s="140" t="s">
        <v>136</v>
      </c>
      <c r="C99" s="159">
        <f>C$25</f>
        <v>11.359236684941296</v>
      </c>
      <c r="D99" s="159">
        <f t="shared" ref="D99:J99" si="51">D$25</f>
        <v>24.733877696033691</v>
      </c>
      <c r="E99" s="159">
        <f t="shared" si="51"/>
        <v>18.829377433825435</v>
      </c>
      <c r="F99" s="159">
        <f t="shared" si="51"/>
        <v>18.829377433825435</v>
      </c>
      <c r="G99" s="159">
        <f t="shared" si="51"/>
        <v>18.829377433825435</v>
      </c>
      <c r="H99" s="159">
        <f t="shared" si="51"/>
        <v>18.829377433825435</v>
      </c>
      <c r="I99" s="159">
        <f t="shared" si="51"/>
        <v>18.829377433825435</v>
      </c>
      <c r="J99" s="160">
        <f t="shared" si="51"/>
        <v>18.829377433825435</v>
      </c>
      <c r="L99" s="216"/>
      <c r="M99" s="220"/>
      <c r="N99" s="185"/>
    </row>
    <row r="100" spans="2:19" s="136" customFormat="1" ht="18" hidden="1" customHeight="1">
      <c r="B100" s="140" t="s">
        <v>137</v>
      </c>
      <c r="C100" s="222">
        <f t="shared" ref="C100:J100" si="52">IF($C$9="X8",C$99*0.25,0)</f>
        <v>0</v>
      </c>
      <c r="D100" s="222">
        <f t="shared" si="52"/>
        <v>0</v>
      </c>
      <c r="E100" s="222">
        <f t="shared" si="52"/>
        <v>0</v>
      </c>
      <c r="F100" s="222">
        <f t="shared" si="52"/>
        <v>0</v>
      </c>
      <c r="G100" s="222">
        <f t="shared" si="52"/>
        <v>0</v>
      </c>
      <c r="H100" s="222">
        <f t="shared" si="52"/>
        <v>0</v>
      </c>
      <c r="I100" s="222">
        <f t="shared" si="52"/>
        <v>0</v>
      </c>
      <c r="J100" s="223">
        <f t="shared" si="52"/>
        <v>0</v>
      </c>
      <c r="L100" s="216"/>
      <c r="M100" s="220"/>
      <c r="N100" s="185"/>
    </row>
    <row r="101" spans="2:19" s="136" customFormat="1" ht="18" hidden="1" customHeight="1">
      <c r="B101" s="140" t="s">
        <v>138</v>
      </c>
      <c r="C101" s="224">
        <f t="shared" ref="C101:J101" si="53">IF($C$9="X8",175-C$100,$O$11)</f>
        <v>160</v>
      </c>
      <c r="D101" s="224">
        <f t="shared" si="53"/>
        <v>160</v>
      </c>
      <c r="E101" s="224">
        <f t="shared" si="53"/>
        <v>160</v>
      </c>
      <c r="F101" s="224">
        <f t="shared" si="53"/>
        <v>160</v>
      </c>
      <c r="G101" s="224">
        <f t="shared" si="53"/>
        <v>160</v>
      </c>
      <c r="H101" s="224">
        <f t="shared" si="53"/>
        <v>160</v>
      </c>
      <c r="I101" s="224">
        <f t="shared" si="53"/>
        <v>160</v>
      </c>
      <c r="J101" s="225">
        <f t="shared" si="53"/>
        <v>160</v>
      </c>
      <c r="L101" s="216"/>
      <c r="M101" s="220"/>
      <c r="N101" s="185"/>
    </row>
    <row r="102" spans="2:19" s="136" customFormat="1" ht="15.95" hidden="1" customHeight="1">
      <c r="B102" s="226" t="s">
        <v>78</v>
      </c>
      <c r="C102" s="227">
        <f>IF(OR($C9="X4",$C9="X4L",$C9="X8"),10*LOG10(C$101/C$24),35)</f>
        <v>35</v>
      </c>
      <c r="D102" s="227">
        <f t="shared" ref="D102:J102" si="54">IF(OR($C9="X4",$C9="X4L",$C9="X8"),10*LOG10(D$101/D$24),35)</f>
        <v>35</v>
      </c>
      <c r="E102" s="227">
        <f t="shared" si="54"/>
        <v>35</v>
      </c>
      <c r="F102" s="227">
        <f t="shared" si="54"/>
        <v>35</v>
      </c>
      <c r="G102" s="227">
        <f t="shared" si="54"/>
        <v>35</v>
      </c>
      <c r="H102" s="227">
        <f t="shared" si="54"/>
        <v>35</v>
      </c>
      <c r="I102" s="227">
        <f t="shared" si="54"/>
        <v>35</v>
      </c>
      <c r="J102" s="227">
        <f t="shared" si="54"/>
        <v>35</v>
      </c>
      <c r="K102" s="163"/>
      <c r="L102" s="163"/>
      <c r="M102" s="228"/>
    </row>
    <row r="103" spans="2:19" s="136" customFormat="1" ht="15.95" hidden="1" customHeight="1">
      <c r="B103" s="229"/>
      <c r="C103" s="229"/>
      <c r="D103" s="229"/>
      <c r="E103" s="229"/>
      <c r="F103" s="229"/>
      <c r="G103" s="229"/>
      <c r="H103" s="229"/>
      <c r="I103" s="229"/>
      <c r="J103" s="230"/>
      <c r="K103" s="163"/>
      <c r="L103" s="163"/>
      <c r="M103" s="228"/>
    </row>
    <row r="104" spans="2:19" s="136" customFormat="1" ht="15.95" hidden="1" customHeight="1">
      <c r="B104" s="140" t="s">
        <v>139</v>
      </c>
      <c r="C104" s="146">
        <f t="shared" ref="C104:J104" si="55">10*LOG10(C88/C23)</f>
        <v>0</v>
      </c>
      <c r="D104" s="146">
        <f t="shared" si="55"/>
        <v>0</v>
      </c>
      <c r="E104" s="146">
        <f t="shared" si="55"/>
        <v>0</v>
      </c>
      <c r="F104" s="146">
        <f t="shared" si="55"/>
        <v>0</v>
      </c>
      <c r="G104" s="146">
        <f t="shared" si="55"/>
        <v>0</v>
      </c>
      <c r="H104" s="146">
        <f t="shared" si="55"/>
        <v>0</v>
      </c>
      <c r="I104" s="146">
        <f t="shared" si="55"/>
        <v>0</v>
      </c>
      <c r="J104" s="177">
        <f t="shared" si="55"/>
        <v>0</v>
      </c>
      <c r="K104" s="163"/>
      <c r="L104" s="146">
        <f>MIN(C104:J104)</f>
        <v>0</v>
      </c>
      <c r="M104" s="147"/>
      <c r="N104" s="136" t="s">
        <v>140</v>
      </c>
      <c r="P104" s="136">
        <v>125</v>
      </c>
      <c r="Q104" s="136">
        <v>250</v>
      </c>
      <c r="R104" s="136">
        <v>500</v>
      </c>
      <c r="S104" s="136">
        <v>100</v>
      </c>
    </row>
    <row r="105" spans="2:19" s="136" customFormat="1" ht="15.95" hidden="1" customHeight="1">
      <c r="B105" s="140" t="s">
        <v>141</v>
      </c>
      <c r="C105" s="231">
        <f t="shared" ref="C105:J105" si="56">10*LOG10(2*C87/C88)</f>
        <v>16.820599913279622</v>
      </c>
      <c r="D105" s="231">
        <f t="shared" si="56"/>
        <v>16.820599913279622</v>
      </c>
      <c r="E105" s="231">
        <f t="shared" si="56"/>
        <v>16.820599913279622</v>
      </c>
      <c r="F105" s="231">
        <f t="shared" si="56"/>
        <v>16.820599913279622</v>
      </c>
      <c r="G105" s="231">
        <f t="shared" si="56"/>
        <v>16.820599913279622</v>
      </c>
      <c r="H105" s="231">
        <f t="shared" si="56"/>
        <v>16.820599913279622</v>
      </c>
      <c r="I105" s="231">
        <f t="shared" si="56"/>
        <v>16.820599913279622</v>
      </c>
      <c r="J105" s="232">
        <f t="shared" si="56"/>
        <v>16.820599913279622</v>
      </c>
      <c r="K105" s="163"/>
      <c r="L105" s="163"/>
      <c r="M105" s="164"/>
      <c r="N105" s="136" t="s">
        <v>142</v>
      </c>
    </row>
    <row r="106" spans="2:19" s="136" customFormat="1" ht="15.95" hidden="1" customHeight="1">
      <c r="B106" s="140" t="s">
        <v>143</v>
      </c>
      <c r="C106" s="231">
        <f t="shared" ref="C106:J106" si="57">C18-C105</f>
        <v>0</v>
      </c>
      <c r="D106" s="231">
        <f t="shared" si="57"/>
        <v>0</v>
      </c>
      <c r="E106" s="231">
        <f t="shared" si="57"/>
        <v>0</v>
      </c>
      <c r="F106" s="231">
        <f t="shared" si="57"/>
        <v>0</v>
      </c>
      <c r="G106" s="231">
        <f t="shared" si="57"/>
        <v>0</v>
      </c>
      <c r="H106" s="231">
        <f t="shared" si="57"/>
        <v>0</v>
      </c>
      <c r="I106" s="231">
        <f t="shared" si="57"/>
        <v>0</v>
      </c>
      <c r="J106" s="232">
        <f t="shared" si="57"/>
        <v>0</v>
      </c>
      <c r="K106" s="163"/>
      <c r="L106" s="163"/>
      <c r="M106" s="164"/>
      <c r="N106" s="136" t="s">
        <v>144</v>
      </c>
    </row>
    <row r="107" spans="2:19" s="136" customFormat="1" ht="15.95" hidden="1" customHeight="1">
      <c r="B107" s="233" t="s">
        <v>145</v>
      </c>
      <c r="J107" s="179"/>
      <c r="K107" s="163"/>
      <c r="L107" s="163"/>
      <c r="M107" s="164"/>
      <c r="N107" s="136" t="s">
        <v>146</v>
      </c>
    </row>
    <row r="108" spans="2:19" s="136" customFormat="1" ht="15.95" hidden="1" customHeight="1">
      <c r="B108" s="234" t="s">
        <v>147</v>
      </c>
      <c r="J108" s="179"/>
      <c r="K108" s="163"/>
      <c r="L108" s="163"/>
      <c r="M108" s="164"/>
    </row>
    <row r="109" spans="2:19" s="136" customFormat="1" ht="15.95" hidden="1" customHeight="1">
      <c r="B109" s="140" t="s">
        <v>148</v>
      </c>
      <c r="C109" s="144">
        <f t="shared" ref="C109:J109" si="58">MIN(C87*1.4,$O15)</f>
        <v>560</v>
      </c>
      <c r="D109" s="144">
        <f t="shared" si="58"/>
        <v>728</v>
      </c>
      <c r="E109" s="144">
        <f t="shared" si="58"/>
        <v>546</v>
      </c>
      <c r="F109" s="144">
        <f t="shared" si="58"/>
        <v>546</v>
      </c>
      <c r="G109" s="144">
        <f t="shared" si="58"/>
        <v>546</v>
      </c>
      <c r="H109" s="144">
        <f t="shared" si="58"/>
        <v>546</v>
      </c>
      <c r="I109" s="144">
        <f t="shared" si="58"/>
        <v>546</v>
      </c>
      <c r="J109" s="145">
        <f t="shared" si="58"/>
        <v>546</v>
      </c>
      <c r="K109" s="148">
        <f>SUM(C109:J109)</f>
        <v>4564</v>
      </c>
      <c r="L109" s="146">
        <f>-10*LOG10(K87/K109)</f>
        <v>1.46128035678238</v>
      </c>
      <c r="M109" s="147"/>
      <c r="N109" s="136" t="s">
        <v>149</v>
      </c>
    </row>
    <row r="110" spans="2:19" s="136" customFormat="1" ht="15.95" hidden="1" customHeight="1">
      <c r="B110" s="140" t="s">
        <v>52</v>
      </c>
      <c r="C110" s="144">
        <f t="shared" ref="C110:J110" si="59">MIN(C88*2,$O13)</f>
        <v>33.27055084410685</v>
      </c>
      <c r="D110" s="144">
        <f t="shared" si="59"/>
        <v>43.251716097338907</v>
      </c>
      <c r="E110" s="144">
        <f t="shared" si="59"/>
        <v>32.438787073004178</v>
      </c>
      <c r="F110" s="144">
        <f t="shared" si="59"/>
        <v>32.438787073004178</v>
      </c>
      <c r="G110" s="144">
        <f t="shared" si="59"/>
        <v>32.438787073004178</v>
      </c>
      <c r="H110" s="144">
        <f t="shared" si="59"/>
        <v>32.438787073004178</v>
      </c>
      <c r="I110" s="144">
        <f t="shared" si="59"/>
        <v>32.438787073004178</v>
      </c>
      <c r="J110" s="145">
        <f t="shared" si="59"/>
        <v>32.438787073004178</v>
      </c>
      <c r="K110" s="148">
        <f>SUM(C110:J110)</f>
        <v>271.15498937947081</v>
      </c>
      <c r="L110" s="146"/>
      <c r="M110" s="147"/>
    </row>
    <row r="111" spans="2:19" s="136" customFormat="1" ht="15.95" hidden="1" customHeight="1">
      <c r="B111" s="140" t="s">
        <v>150</v>
      </c>
      <c r="J111" s="179"/>
      <c r="K111" s="144">
        <f>MIN(K114*1.4,O$12)</f>
        <v>413.53325908627653</v>
      </c>
      <c r="L111" s="163"/>
      <c r="M111" s="164"/>
      <c r="N111" s="146">
        <f>10*LOG10(K88/K110)</f>
        <v>-3.0102999566398121</v>
      </c>
    </row>
    <row r="112" spans="2:19" s="136" customFormat="1" ht="15.95" hidden="1" customHeight="1">
      <c r="B112" s="140" t="s">
        <v>151</v>
      </c>
      <c r="C112" s="235">
        <f t="shared" ref="C112:J112" si="60">C91*$O20+$O21</f>
        <v>0.5723076923076923</v>
      </c>
      <c r="D112" s="235">
        <f t="shared" si="60"/>
        <v>0.53262348115842162</v>
      </c>
      <c r="E112" s="235">
        <f t="shared" si="60"/>
        <v>0.53262348115842162</v>
      </c>
      <c r="F112" s="235">
        <f t="shared" si="60"/>
        <v>0.53262348115842162</v>
      </c>
      <c r="G112" s="235">
        <f t="shared" si="60"/>
        <v>0.53262348115842162</v>
      </c>
      <c r="H112" s="235">
        <f t="shared" si="60"/>
        <v>0.53262348115842162</v>
      </c>
      <c r="I112" s="235">
        <f t="shared" si="60"/>
        <v>0.53262348115842162</v>
      </c>
      <c r="J112" s="236">
        <f t="shared" si="60"/>
        <v>0.53262348115842162</v>
      </c>
      <c r="K112" s="235">
        <f>K88/(K114-O23)</f>
        <v>0.53719395976613205</v>
      </c>
      <c r="L112" s="163"/>
      <c r="M112" s="164"/>
    </row>
    <row r="113" spans="2:19" s="136" customFormat="1" ht="15.95" hidden="1" customHeight="1">
      <c r="B113" s="140" t="s">
        <v>152</v>
      </c>
      <c r="C113" s="148">
        <f t="shared" ref="C113:J113" si="61">C110/C$112+$O$85</f>
        <v>63.509027012552295</v>
      </c>
      <c r="D113" s="148">
        <f t="shared" si="61"/>
        <v>86.580049396750638</v>
      </c>
      <c r="E113" s="148">
        <f t="shared" si="61"/>
        <v>66.278787047562972</v>
      </c>
      <c r="F113" s="148">
        <f t="shared" si="61"/>
        <v>66.278787047562972</v>
      </c>
      <c r="G113" s="148">
        <f t="shared" si="61"/>
        <v>66.278787047562972</v>
      </c>
      <c r="H113" s="148">
        <f t="shared" si="61"/>
        <v>66.278787047562972</v>
      </c>
      <c r="I113" s="148">
        <f t="shared" si="61"/>
        <v>66.278787047562972</v>
      </c>
      <c r="J113" s="149">
        <f t="shared" si="61"/>
        <v>66.278787047562972</v>
      </c>
      <c r="K113" s="148">
        <f>SUM(C113:J113)</f>
        <v>547.76179869468069</v>
      </c>
      <c r="L113" s="146">
        <f>10*LOG10(O$12/K113)</f>
        <v>3.9494716740847986</v>
      </c>
      <c r="M113" s="147"/>
    </row>
    <row r="114" spans="2:19" s="136" customFormat="1" ht="15.95" hidden="1" customHeight="1">
      <c r="B114" s="140" t="s">
        <v>153</v>
      </c>
      <c r="C114" s="148">
        <f t="shared" ref="C114:J114" si="62">C88/C$112+$O$85</f>
        <v>34.442013506276147</v>
      </c>
      <c r="D114" s="148">
        <f t="shared" si="62"/>
        <v>45.977524698375319</v>
      </c>
      <c r="E114" s="148">
        <f t="shared" si="62"/>
        <v>35.826893523781486</v>
      </c>
      <c r="F114" s="148">
        <f t="shared" si="62"/>
        <v>35.826893523781486</v>
      </c>
      <c r="G114" s="148">
        <f t="shared" si="62"/>
        <v>35.826893523781486</v>
      </c>
      <c r="H114" s="148">
        <f t="shared" si="62"/>
        <v>35.826893523781486</v>
      </c>
      <c r="I114" s="148">
        <f t="shared" si="62"/>
        <v>35.826893523781486</v>
      </c>
      <c r="J114" s="149">
        <f t="shared" si="62"/>
        <v>35.826893523781486</v>
      </c>
      <c r="K114" s="148">
        <f>SUM(C114:J114)</f>
        <v>295.3808993473404</v>
      </c>
      <c r="L114" s="146">
        <f>10*LOG10(O$12/K114)</f>
        <v>6.6315649991375514</v>
      </c>
      <c r="M114" s="147"/>
    </row>
    <row r="115" spans="2:19" s="136" customFormat="1" ht="15.95" hidden="1" customHeight="1">
      <c r="B115" s="140" t="s">
        <v>154</v>
      </c>
      <c r="J115" s="179"/>
      <c r="K115" s="237">
        <f>K114/O24/C10</f>
        <v>1.2842647797710451</v>
      </c>
      <c r="L115" s="163"/>
      <c r="M115" s="228"/>
    </row>
    <row r="116" spans="2:19" s="136" customFormat="1" ht="18" hidden="1" customHeight="1">
      <c r="B116" s="140" t="s">
        <v>155</v>
      </c>
      <c r="J116" s="179"/>
      <c r="K116" s="237">
        <f>MIN(MIN(O26,K114)/O24/$C10,O27,$E10)</f>
        <v>1.2842647797710451</v>
      </c>
      <c r="L116" s="146">
        <f>-10*LOG10(K116/O27)</f>
        <v>10.052887798679674</v>
      </c>
      <c r="M116" s="238"/>
      <c r="N116" s="136" t="s">
        <v>156</v>
      </c>
    </row>
    <row r="117" spans="2:19" s="136" customFormat="1" ht="15.95" hidden="1" customHeight="1">
      <c r="B117" s="140" t="s">
        <v>157</v>
      </c>
      <c r="C117" s="148">
        <f t="shared" ref="C117:J117" si="63">((C114-$O85)/($K114-$O23))*($K117-$O23)+$O85</f>
        <v>34.442013506276147</v>
      </c>
      <c r="D117" s="148">
        <f t="shared" si="63"/>
        <v>45.977524698375319</v>
      </c>
      <c r="E117" s="148">
        <f t="shared" si="63"/>
        <v>35.826893523781486</v>
      </c>
      <c r="F117" s="148">
        <f t="shared" si="63"/>
        <v>35.826893523781486</v>
      </c>
      <c r="G117" s="148">
        <f t="shared" si="63"/>
        <v>35.826893523781486</v>
      </c>
      <c r="H117" s="148">
        <f t="shared" si="63"/>
        <v>35.826893523781486</v>
      </c>
      <c r="I117" s="148">
        <f t="shared" si="63"/>
        <v>35.826893523781486</v>
      </c>
      <c r="J117" s="149">
        <f t="shared" si="63"/>
        <v>35.826893523781486</v>
      </c>
      <c r="K117" s="148">
        <f>K116*$C10*O24</f>
        <v>295.3808993473404</v>
      </c>
      <c r="L117" s="163"/>
      <c r="M117" s="238"/>
      <c r="N117" s="136" t="s">
        <v>158</v>
      </c>
    </row>
    <row r="118" spans="2:19" s="136" customFormat="1" ht="15.95" hidden="1" customHeight="1">
      <c r="B118" s="140" t="s">
        <v>159</v>
      </c>
      <c r="C118" s="148">
        <f t="shared" ref="C118:J118" si="64">C22/C23*C119</f>
        <v>400</v>
      </c>
      <c r="D118" s="148">
        <f t="shared" si="64"/>
        <v>520.00000000000011</v>
      </c>
      <c r="E118" s="148">
        <f t="shared" si="64"/>
        <v>390</v>
      </c>
      <c r="F118" s="148">
        <f t="shared" si="64"/>
        <v>390</v>
      </c>
      <c r="G118" s="148">
        <f t="shared" si="64"/>
        <v>390</v>
      </c>
      <c r="H118" s="148">
        <f t="shared" si="64"/>
        <v>390</v>
      </c>
      <c r="I118" s="148">
        <f t="shared" si="64"/>
        <v>390</v>
      </c>
      <c r="J118" s="149">
        <f t="shared" si="64"/>
        <v>390</v>
      </c>
      <c r="K118" s="148">
        <f>SUM($C118:J118)</f>
        <v>3260</v>
      </c>
      <c r="L118" s="163"/>
      <c r="M118" s="147"/>
    </row>
    <row r="119" spans="2:19" s="136" customFormat="1" ht="15.95" hidden="1" customHeight="1">
      <c r="B119" s="140" t="s">
        <v>160</v>
      </c>
      <c r="C119" s="148">
        <f t="shared" ref="C119:J119" si="65">(C117-$O85)*C112</f>
        <v>16.635275422053425</v>
      </c>
      <c r="D119" s="148">
        <f t="shared" si="65"/>
        <v>21.625858048669457</v>
      </c>
      <c r="E119" s="148">
        <f t="shared" si="65"/>
        <v>16.219393536502089</v>
      </c>
      <c r="F119" s="148">
        <f t="shared" si="65"/>
        <v>16.219393536502089</v>
      </c>
      <c r="G119" s="148">
        <f t="shared" si="65"/>
        <v>16.219393536502089</v>
      </c>
      <c r="H119" s="148">
        <f t="shared" si="65"/>
        <v>16.219393536502089</v>
      </c>
      <c r="I119" s="148">
        <f t="shared" si="65"/>
        <v>16.219393536502089</v>
      </c>
      <c r="J119" s="149">
        <f t="shared" si="65"/>
        <v>16.219393536502089</v>
      </c>
      <c r="K119" s="148">
        <f>SUM($C119:J119)</f>
        <v>135.5774946897354</v>
      </c>
      <c r="L119" s="163"/>
      <c r="M119" s="147"/>
      <c r="N119" s="136" t="s">
        <v>161</v>
      </c>
      <c r="P119" s="151">
        <v>125</v>
      </c>
      <c r="Q119" s="151">
        <v>250</v>
      </c>
      <c r="R119" s="151">
        <v>500</v>
      </c>
      <c r="S119" s="151">
        <v>1000</v>
      </c>
    </row>
    <row r="120" spans="2:19" s="136" customFormat="1" ht="15.95" hidden="1" customHeight="1">
      <c r="B120" s="239" t="s">
        <v>162</v>
      </c>
      <c r="C120" s="231">
        <f>C121-C122</f>
        <v>0</v>
      </c>
      <c r="D120" s="231">
        <f t="shared" ref="D120:J120" si="66">D121-D122</f>
        <v>-9.6432746655328694E-16</v>
      </c>
      <c r="E120" s="231">
        <f t="shared" si="66"/>
        <v>0</v>
      </c>
      <c r="F120" s="231">
        <f t="shared" si="66"/>
        <v>0</v>
      </c>
      <c r="G120" s="231">
        <f t="shared" si="66"/>
        <v>0</v>
      </c>
      <c r="H120" s="231">
        <f t="shared" si="66"/>
        <v>0</v>
      </c>
      <c r="I120" s="231">
        <f t="shared" si="66"/>
        <v>0</v>
      </c>
      <c r="J120" s="232">
        <f t="shared" si="66"/>
        <v>0</v>
      </c>
      <c r="K120" s="231">
        <f>MAX($C120:F120)</f>
        <v>0</v>
      </c>
      <c r="L120" s="163"/>
      <c r="M120" s="164"/>
      <c r="P120" s="151"/>
    </row>
    <row r="121" spans="2:19" s="136" customFormat="1" ht="18" hidden="1" customHeight="1">
      <c r="B121" s="140" t="s">
        <v>163</v>
      </c>
      <c r="C121" s="146">
        <f t="shared" ref="C121:J121" si="67">10*LOG10(C87/C22)</f>
        <v>0</v>
      </c>
      <c r="D121" s="146">
        <f t="shared" si="67"/>
        <v>0</v>
      </c>
      <c r="E121" s="146">
        <f t="shared" si="67"/>
        <v>0</v>
      </c>
      <c r="F121" s="146">
        <f t="shared" si="67"/>
        <v>0</v>
      </c>
      <c r="G121" s="146">
        <f t="shared" si="67"/>
        <v>0</v>
      </c>
      <c r="H121" s="146">
        <f t="shared" si="67"/>
        <v>0</v>
      </c>
      <c r="I121" s="146">
        <f t="shared" si="67"/>
        <v>0</v>
      </c>
      <c r="J121" s="177">
        <f t="shared" si="67"/>
        <v>0</v>
      </c>
      <c r="K121" s="146">
        <f>MIN(C121:J121)</f>
        <v>0</v>
      </c>
      <c r="L121" s="146"/>
      <c r="M121" s="164"/>
      <c r="N121" s="136" t="s">
        <v>164</v>
      </c>
    </row>
    <row r="122" spans="2:19" s="136" customFormat="1" ht="18" hidden="1" customHeight="1">
      <c r="B122" s="140" t="s">
        <v>165</v>
      </c>
      <c r="C122" s="146">
        <f t="shared" ref="C122:K122" si="68">10*LOG10(C119/C23)</f>
        <v>0</v>
      </c>
      <c r="D122" s="146">
        <f t="shared" si="68"/>
        <v>9.6432746655328694E-16</v>
      </c>
      <c r="E122" s="146">
        <f t="shared" si="68"/>
        <v>0</v>
      </c>
      <c r="F122" s="146">
        <f t="shared" si="68"/>
        <v>0</v>
      </c>
      <c r="G122" s="146">
        <f t="shared" si="68"/>
        <v>0</v>
      </c>
      <c r="H122" s="146">
        <f t="shared" si="68"/>
        <v>0</v>
      </c>
      <c r="I122" s="146">
        <f t="shared" si="68"/>
        <v>0</v>
      </c>
      <c r="J122" s="177">
        <f t="shared" si="68"/>
        <v>0</v>
      </c>
      <c r="K122" s="146">
        <f t="shared" si="68"/>
        <v>0</v>
      </c>
      <c r="L122" s="163"/>
      <c r="M122" s="147"/>
      <c r="N122" s="136" t="s">
        <v>166</v>
      </c>
    </row>
    <row r="123" spans="2:19" s="136" customFormat="1" ht="18" customHeight="1" thickBot="1">
      <c r="B123" s="140" t="s">
        <v>78</v>
      </c>
      <c r="C123" s="146">
        <f>IF(C$14="Unused","Unused",IF(C$14="Lo-Z",MIN(20*LOG10(MAX($O9,$O17)/C24),20*LOG10(1/MAX(C$41/$O11,C$42/$O10)),10*LOG10($O8/C$40),$L$22,C$102,IF(C121&lt;-0.01,C121,32),IF(C122&lt;-0.01,C122,32)),MIN(20*LOG10(1/(C$42/$O10)),10*LOG10($O8/C$40),$L$22,IF(C121&lt;-0.01,C121,32),IF(C122&lt;-0.01,C122,32))))</f>
        <v>3.8987238692400461</v>
      </c>
      <c r="D123" s="146">
        <f t="shared" ref="D123:J123" si="69">IF(D$14="Unused","Unused",IF(D$14="Lo-Z",MIN(20*LOG10(MAX($O9,$O17)/D24),20*LOG10(1/MAX(D$41/$O11,D$42/$O10)),10*LOG10($O8/D$40),$L$22,D$102,IF(D121&lt;-0.01,D121,32),IF(D122&lt;-0.01,D122,32)),MIN(20*LOG10(1/(D$42/$O10)),10*LOG10($O8/D$40),$L$22,IF(D121&lt;-0.01,D121,32),IF(D122&lt;-0.01,D122,32))))</f>
        <v>3.8987238692400461</v>
      </c>
      <c r="E123" s="146">
        <f t="shared" si="69"/>
        <v>3.8987238692400461</v>
      </c>
      <c r="F123" s="146">
        <f t="shared" si="69"/>
        <v>3.8987238692400461</v>
      </c>
      <c r="G123" s="146">
        <f t="shared" si="69"/>
        <v>3.8987238692400461</v>
      </c>
      <c r="H123" s="146">
        <f t="shared" si="69"/>
        <v>3.8987238692400461</v>
      </c>
      <c r="I123" s="146">
        <f t="shared" si="69"/>
        <v>3.8987238692400461</v>
      </c>
      <c r="J123" s="146">
        <f t="shared" si="69"/>
        <v>3.8987238692400461</v>
      </c>
      <c r="K123" s="163"/>
      <c r="L123" s="146">
        <f>MIN(C123:J123,L114,L116,L40,L45)</f>
        <v>3.8987238692400461</v>
      </c>
      <c r="M123" s="407" t="str">
        <f>IF(K121&gt;3,CONCATENATE("The capacity to sustain the crest factor is challenged. While individual beats ",IF(K122&gt;-0.01,"can ","may "),"reach the desired peak level, there is an obvious risk that the SPL of the beats will vary over time."),"")</f>
        <v/>
      </c>
    </row>
    <row r="124" spans="2:19" s="136" customFormat="1" ht="18" hidden="1" customHeight="1">
      <c r="B124" s="140" t="s">
        <v>167</v>
      </c>
      <c r="K124" s="240">
        <f>K117-K119</f>
        <v>159.803404657605</v>
      </c>
      <c r="L124" s="163"/>
      <c r="M124" s="407"/>
      <c r="N124" s="136" t="s">
        <v>168</v>
      </c>
      <c r="P124" s="151">
        <v>250</v>
      </c>
      <c r="Q124" s="151">
        <v>406</v>
      </c>
      <c r="R124" s="151">
        <v>729</v>
      </c>
      <c r="S124" s="151">
        <v>1380</v>
      </c>
    </row>
    <row r="125" spans="2:19" s="136" customFormat="1" ht="18" hidden="1" customHeight="1" thickBot="1">
      <c r="B125" s="166" t="s">
        <v>166</v>
      </c>
      <c r="C125" s="241"/>
      <c r="D125" s="241"/>
      <c r="E125" s="241"/>
      <c r="F125" s="241"/>
      <c r="G125" s="241"/>
      <c r="H125" s="241"/>
      <c r="I125" s="241"/>
      <c r="J125" s="241"/>
      <c r="K125" s="242">
        <f>3.412*K124</f>
        <v>545.2492166917483</v>
      </c>
      <c r="L125" s="243"/>
      <c r="M125" s="244"/>
      <c r="N125" s="136" t="s">
        <v>169</v>
      </c>
      <c r="P125" s="245">
        <f t="shared" ref="P125:S125" si="70">P119/(P124-P40)</f>
        <v>0.5</v>
      </c>
      <c r="Q125" s="245">
        <f t="shared" si="70"/>
        <v>0.61576354679802958</v>
      </c>
      <c r="R125" s="245">
        <f t="shared" si="70"/>
        <v>0.68587105624142664</v>
      </c>
      <c r="S125" s="245">
        <f t="shared" si="70"/>
        <v>0.72463768115942029</v>
      </c>
    </row>
    <row r="126" spans="2:19" s="194" customFormat="1" hidden="1">
      <c r="K126" s="196"/>
      <c r="L126" s="196"/>
      <c r="M126" s="246"/>
    </row>
    <row r="127" spans="2:19" s="194" customFormat="1" ht="15.95" hidden="1" customHeight="1">
      <c r="B127" s="194" t="s">
        <v>170</v>
      </c>
      <c r="K127" s="247">
        <f>K116*C10</f>
        <v>295.3808993473404</v>
      </c>
      <c r="L127" s="196"/>
      <c r="M127" s="246"/>
    </row>
    <row r="128" spans="2:19" s="194" customFormat="1" ht="15.95" hidden="1" customHeight="1" thickBot="1">
      <c r="K128" s="248">
        <f>K117/K127</f>
        <v>1</v>
      </c>
      <c r="L128" s="196"/>
      <c r="M128" s="246"/>
    </row>
    <row r="129" spans="2:25" s="136" customFormat="1" ht="15.95" customHeight="1">
      <c r="B129" s="135" t="s">
        <v>171</v>
      </c>
      <c r="C129" s="249"/>
      <c r="D129" s="249"/>
      <c r="E129" s="249"/>
      <c r="F129" s="249"/>
      <c r="G129" s="249"/>
      <c r="H129" s="249"/>
      <c r="I129" s="249"/>
      <c r="J129" s="250"/>
      <c r="K129" s="148"/>
      <c r="L129" s="146"/>
      <c r="M129" s="147"/>
    </row>
    <row r="130" spans="2:25" s="136" customFormat="1" ht="15.95" customHeight="1">
      <c r="B130" s="140"/>
      <c r="C130" s="148"/>
      <c r="D130" s="148"/>
      <c r="E130" s="148"/>
      <c r="F130" s="148"/>
      <c r="G130" s="148"/>
      <c r="H130" s="148"/>
      <c r="I130" s="148"/>
      <c r="J130" s="251"/>
      <c r="K130" s="148"/>
      <c r="L130" s="146"/>
      <c r="M130" s="147" t="s">
        <v>172</v>
      </c>
    </row>
    <row r="131" spans="2:25" s="136" customFormat="1" ht="15.95" customHeight="1">
      <c r="B131" s="140" t="s">
        <v>173</v>
      </c>
      <c r="C131" s="222">
        <f>IF(C$14="Lo-Z",C$24*1.05,C$24)</f>
        <v>84</v>
      </c>
      <c r="D131" s="222">
        <f t="shared" ref="D131:J131" si="71">IF(D$14="Lo-Z",D$24*1.05,D$24)</f>
        <v>47.887367854163791</v>
      </c>
      <c r="E131" s="222">
        <f t="shared" si="71"/>
        <v>47.887367854163791</v>
      </c>
      <c r="F131" s="222">
        <f t="shared" si="71"/>
        <v>47.887367854163791</v>
      </c>
      <c r="G131" s="222">
        <f t="shared" si="71"/>
        <v>47.887367854163791</v>
      </c>
      <c r="H131" s="222">
        <f t="shared" si="71"/>
        <v>47.887367854163791</v>
      </c>
      <c r="I131" s="222">
        <f t="shared" si="71"/>
        <v>47.887367854163791</v>
      </c>
      <c r="J131" s="222">
        <f t="shared" si="71"/>
        <v>47.887367854163791</v>
      </c>
      <c r="K131" s="148"/>
      <c r="L131" s="146"/>
      <c r="M131" s="147"/>
    </row>
    <row r="132" spans="2:25" s="136" customFormat="1" ht="15.95" customHeight="1">
      <c r="B132" s="253"/>
      <c r="C132" s="254"/>
      <c r="D132" s="254"/>
      <c r="E132" s="254"/>
      <c r="F132" s="254"/>
      <c r="G132" s="254"/>
      <c r="H132" s="254"/>
      <c r="I132" s="254"/>
      <c r="J132" s="254"/>
      <c r="K132" s="148"/>
      <c r="L132" s="146"/>
      <c r="M132" s="147"/>
    </row>
    <row r="133" spans="2:25" s="136" customFormat="1" ht="15.95" customHeight="1">
      <c r="B133" s="140" t="s">
        <v>129</v>
      </c>
      <c r="C133" s="222">
        <f t="shared" ref="C133:J133" si="72">C$24*0.8</f>
        <v>64</v>
      </c>
      <c r="D133" s="222">
        <f t="shared" si="72"/>
        <v>36.485613603172418</v>
      </c>
      <c r="E133" s="222">
        <f t="shared" si="72"/>
        <v>36.485613603172418</v>
      </c>
      <c r="F133" s="222">
        <f t="shared" si="72"/>
        <v>36.485613603172418</v>
      </c>
      <c r="G133" s="222">
        <f t="shared" si="72"/>
        <v>36.485613603172418</v>
      </c>
      <c r="H133" s="222">
        <f t="shared" si="72"/>
        <v>36.485613603172418</v>
      </c>
      <c r="I133" s="222">
        <f t="shared" si="72"/>
        <v>36.485613603172418</v>
      </c>
      <c r="J133" s="222">
        <f t="shared" si="72"/>
        <v>36.485613603172418</v>
      </c>
      <c r="K133" s="154"/>
      <c r="M133" s="211" t="str">
        <f>IF(K164&lt;-0.01,"A peak limiter setting above this level may lead to undesireable artefacts in percussive sounds","")</f>
        <v/>
      </c>
      <c r="Y133" s="148">
        <f>IF(C$50&lt;1,0,C57)+IF(D$50&lt;1,0,D57)+IF(E$50&lt;1,0,E57)+IF(F$50&lt;1,0,F57)</f>
        <v>0</v>
      </c>
    </row>
    <row r="134" spans="2:25" s="136" customFormat="1" ht="15.95" customHeight="1">
      <c r="B134" s="140" t="s">
        <v>174</v>
      </c>
      <c r="C134" s="154" t="str">
        <f t="shared" ref="C134:J134" si="73">VLOOKUP(C$17,$U20:$Y24,2,FALSE)</f>
        <v>2 - 8 ms</v>
      </c>
      <c r="D134" s="154" t="str">
        <f t="shared" si="73"/>
        <v>2 - 8 ms</v>
      </c>
      <c r="E134" s="154" t="str">
        <f t="shared" si="73"/>
        <v>2 - 8 ms</v>
      </c>
      <c r="F134" s="154" t="str">
        <f t="shared" si="73"/>
        <v>2 - 8 ms</v>
      </c>
      <c r="G134" s="154" t="str">
        <f t="shared" si="73"/>
        <v>2 - 8 ms</v>
      </c>
      <c r="H134" s="154" t="str">
        <f t="shared" si="73"/>
        <v>2 - 8 ms</v>
      </c>
      <c r="I134" s="154" t="str">
        <f t="shared" si="73"/>
        <v>2 - 8 ms</v>
      </c>
      <c r="J134" s="154" t="str">
        <f t="shared" si="73"/>
        <v>2 - 8 ms</v>
      </c>
      <c r="K134" s="154"/>
      <c r="M134" s="211"/>
      <c r="Y134" s="148"/>
    </row>
    <row r="135" spans="2:25" s="136" customFormat="1" ht="15.95" customHeight="1">
      <c r="B135" s="140" t="s">
        <v>175</v>
      </c>
      <c r="C135" s="154" t="str">
        <f t="shared" ref="C135:J135" si="74">VLOOKUP(C$17,$U20:$Y24,3,FALSE)</f>
        <v>16 - 64 ms</v>
      </c>
      <c r="D135" s="154" t="str">
        <f t="shared" si="74"/>
        <v>16 - 64 ms</v>
      </c>
      <c r="E135" s="154" t="str">
        <f t="shared" si="74"/>
        <v>16 - 64 ms</v>
      </c>
      <c r="F135" s="154" t="str">
        <f t="shared" si="74"/>
        <v>16 - 64 ms</v>
      </c>
      <c r="G135" s="154" t="str">
        <f t="shared" si="74"/>
        <v>16 - 64 ms</v>
      </c>
      <c r="H135" s="154" t="str">
        <f t="shared" si="74"/>
        <v>16 - 64 ms</v>
      </c>
      <c r="I135" s="154" t="str">
        <f t="shared" si="74"/>
        <v>16 - 64 ms</v>
      </c>
      <c r="J135" s="154" t="str">
        <f t="shared" si="74"/>
        <v>16 - 64 ms</v>
      </c>
      <c r="K135" s="154"/>
      <c r="M135" s="211"/>
      <c r="Y135" s="148"/>
    </row>
    <row r="136" spans="2:25" s="136" customFormat="1" ht="15.95" customHeight="1">
      <c r="B136" s="253"/>
      <c r="C136" s="254"/>
      <c r="D136" s="254"/>
      <c r="E136" s="254"/>
      <c r="F136" s="254"/>
      <c r="G136" s="254"/>
      <c r="H136" s="254"/>
      <c r="I136" s="254"/>
      <c r="J136" s="254"/>
      <c r="K136" s="154"/>
      <c r="M136" s="211"/>
      <c r="Y136" s="148"/>
    </row>
    <row r="137" spans="2:25" s="194" customFormat="1">
      <c r="B137" s="140" t="s">
        <v>130</v>
      </c>
      <c r="C137" s="222">
        <f t="shared" ref="C137:J137" si="75">SQRT(C$22/2*C$26)*VLOOKUP(C$17,$U12:$Y16,5,FALSE)</f>
        <v>24</v>
      </c>
      <c r="D137" s="222">
        <f t="shared" si="75"/>
        <v>13.682105101189654</v>
      </c>
      <c r="E137" s="222">
        <f t="shared" si="75"/>
        <v>13.682105101189654</v>
      </c>
      <c r="F137" s="222">
        <f t="shared" si="75"/>
        <v>13.682105101189654</v>
      </c>
      <c r="G137" s="222">
        <f t="shared" si="75"/>
        <v>13.682105101189654</v>
      </c>
      <c r="H137" s="222">
        <f t="shared" si="75"/>
        <v>13.682105101189654</v>
      </c>
      <c r="I137" s="222">
        <f t="shared" si="75"/>
        <v>13.682105101189654</v>
      </c>
      <c r="J137" s="222">
        <f t="shared" si="75"/>
        <v>13.682105101189654</v>
      </c>
      <c r="K137" s="196"/>
      <c r="L137" s="196"/>
      <c r="M137" s="211" t="str">
        <f>IF(K165&lt;-0.01,"An rms limiter setting above this level may lead to undesireable pumping effects","")</f>
        <v/>
      </c>
    </row>
    <row r="138" spans="2:25" s="136" customFormat="1" ht="15.95" hidden="1" customHeight="1">
      <c r="B138" s="257" t="s">
        <v>131</v>
      </c>
      <c r="C138" s="146" t="e">
        <f t="shared" ref="C138:J138" si="76">-INDEX($AF$12:$AF$16,MATCH(C$17,$AD$12:$AD$16,0),1)</f>
        <v>#N/A</v>
      </c>
      <c r="D138" s="146" t="e">
        <f t="shared" si="76"/>
        <v>#N/A</v>
      </c>
      <c r="E138" s="146" t="e">
        <f t="shared" si="76"/>
        <v>#N/A</v>
      </c>
      <c r="F138" s="146" t="e">
        <f t="shared" si="76"/>
        <v>#N/A</v>
      </c>
      <c r="G138" s="146" t="e">
        <f t="shared" si="76"/>
        <v>#N/A</v>
      </c>
      <c r="H138" s="146" t="e">
        <f t="shared" si="76"/>
        <v>#N/A</v>
      </c>
      <c r="I138" s="146" t="e">
        <f t="shared" si="76"/>
        <v>#N/A</v>
      </c>
      <c r="J138" s="146" t="e">
        <f t="shared" si="76"/>
        <v>#N/A</v>
      </c>
      <c r="K138" s="205"/>
      <c r="M138" s="211"/>
      <c r="Y138" s="148"/>
    </row>
    <row r="139" spans="2:25" s="136" customFormat="1" hidden="1">
      <c r="B139" s="259" t="s">
        <v>132</v>
      </c>
      <c r="C139" s="146" t="e">
        <f t="shared" ref="C139" si="77">C53+C138</f>
        <v>#N/A</v>
      </c>
      <c r="D139" s="146" t="e">
        <f t="shared" ref="D139:J139" si="78">D53+D138</f>
        <v>#N/A</v>
      </c>
      <c r="E139" s="146" t="e">
        <f t="shared" si="78"/>
        <v>#N/A</v>
      </c>
      <c r="F139" s="146" t="e">
        <f t="shared" si="78"/>
        <v>#N/A</v>
      </c>
      <c r="G139" s="146" t="e">
        <f t="shared" si="78"/>
        <v>#N/A</v>
      </c>
      <c r="H139" s="146" t="e">
        <f t="shared" si="78"/>
        <v>#N/A</v>
      </c>
      <c r="I139" s="146" t="e">
        <f t="shared" si="78"/>
        <v>#N/A</v>
      </c>
      <c r="J139" s="146" t="e">
        <f t="shared" si="78"/>
        <v>#N/A</v>
      </c>
      <c r="K139" s="205"/>
      <c r="M139" s="211"/>
      <c r="Y139" s="148"/>
    </row>
    <row r="140" spans="2:25" s="136" customFormat="1" ht="15.95" hidden="1" customHeight="1">
      <c r="B140" s="202" t="s">
        <v>133</v>
      </c>
      <c r="C140" s="260">
        <f t="shared" ref="C140" si="79">C79*C$50</f>
        <v>0</v>
      </c>
      <c r="D140" s="260">
        <f t="shared" ref="D140:J140" si="80">D79*D$50</f>
        <v>0</v>
      </c>
      <c r="E140" s="260">
        <f t="shared" si="80"/>
        <v>0</v>
      </c>
      <c r="F140" s="260">
        <f t="shared" si="80"/>
        <v>0</v>
      </c>
      <c r="G140" s="260">
        <f t="shared" si="80"/>
        <v>0</v>
      </c>
      <c r="H140" s="260">
        <f t="shared" si="80"/>
        <v>0</v>
      </c>
      <c r="I140" s="260">
        <f t="shared" si="80"/>
        <v>0</v>
      </c>
      <c r="J140" s="260">
        <f t="shared" si="80"/>
        <v>0</v>
      </c>
      <c r="K140" s="163"/>
      <c r="L140" s="216" t="e">
        <f>(MIN(M133,Y140)+Y160)/Y160</f>
        <v>#DIV/0!</v>
      </c>
      <c r="M140" s="217"/>
      <c r="Y140" s="185">
        <f>Y133-Y160</f>
        <v>0</v>
      </c>
    </row>
    <row r="141" spans="2:25" s="136" customFormat="1" ht="15.95" customHeight="1">
      <c r="B141" s="140" t="s">
        <v>174</v>
      </c>
      <c r="C141" s="260" t="str">
        <f t="shared" ref="C141:J141" si="81">VLOOKUP(C$17,$U20:$Y24,4,FALSE)</f>
        <v>0,3 - 0,8 sec</v>
      </c>
      <c r="D141" s="260" t="str">
        <f t="shared" si="81"/>
        <v>0,3 - 0,8 sec</v>
      </c>
      <c r="E141" s="260" t="str">
        <f t="shared" si="81"/>
        <v>0,3 - 0,8 sec</v>
      </c>
      <c r="F141" s="260" t="str">
        <f t="shared" si="81"/>
        <v>0,3 - 0,8 sec</v>
      </c>
      <c r="G141" s="260" t="str">
        <f t="shared" si="81"/>
        <v>0,3 - 0,8 sec</v>
      </c>
      <c r="H141" s="260" t="str">
        <f t="shared" si="81"/>
        <v>0,3 - 0,8 sec</v>
      </c>
      <c r="I141" s="260" t="str">
        <f t="shared" si="81"/>
        <v>0,3 - 0,8 sec</v>
      </c>
      <c r="J141" s="260" t="str">
        <f t="shared" si="81"/>
        <v>0,3 - 0,8 sec</v>
      </c>
      <c r="K141" s="163"/>
      <c r="L141" s="216"/>
      <c r="M141" s="217"/>
      <c r="Y141" s="185"/>
    </row>
    <row r="142" spans="2:25" s="136" customFormat="1" ht="15.95" customHeight="1" thickBot="1">
      <c r="B142" s="166" t="s">
        <v>175</v>
      </c>
      <c r="C142" s="262" t="str">
        <f t="shared" ref="C142:J142" si="82">VLOOKUP(C$17,$U20:$Y24,5,FALSE)</f>
        <v>0,5 - 2 sec</v>
      </c>
      <c r="D142" s="262" t="str">
        <f t="shared" si="82"/>
        <v>0,5 - 2 sec</v>
      </c>
      <c r="E142" s="262" t="str">
        <f t="shared" si="82"/>
        <v>0,5 - 2 sec</v>
      </c>
      <c r="F142" s="262" t="str">
        <f t="shared" si="82"/>
        <v>0,5 - 2 sec</v>
      </c>
      <c r="G142" s="262" t="str">
        <f t="shared" si="82"/>
        <v>0,5 - 2 sec</v>
      </c>
      <c r="H142" s="262" t="str">
        <f t="shared" si="82"/>
        <v>0,5 - 2 sec</v>
      </c>
      <c r="I142" s="262" t="str">
        <f t="shared" si="82"/>
        <v>0,5 - 2 sec</v>
      </c>
      <c r="J142" s="262" t="str">
        <f t="shared" si="82"/>
        <v>0,5 - 2 sec</v>
      </c>
      <c r="K142" s="163"/>
      <c r="L142" s="216"/>
      <c r="M142" s="264"/>
      <c r="Y142" s="185"/>
    </row>
    <row r="143" spans="2:25" s="27" customFormat="1" ht="15.95" customHeight="1">
      <c r="C143" s="59"/>
      <c r="D143" s="59"/>
      <c r="E143" s="59"/>
      <c r="F143" s="59"/>
      <c r="G143" s="59"/>
      <c r="H143" s="59"/>
      <c r="I143" s="59"/>
      <c r="J143" s="59"/>
      <c r="K143" s="32"/>
      <c r="L143" s="66"/>
      <c r="M143" s="133"/>
      <c r="Y143" s="63"/>
    </row>
    <row r="144" spans="2:25" s="27" customFormat="1" ht="18" customHeight="1">
      <c r="B144" s="27" t="str">
        <f>IF(LEN($C44)&gt;5,"Set switches to","")</f>
        <v/>
      </c>
      <c r="C144" s="67" t="str">
        <f>IF(LEN($B144)&lt;1,"",IF(C49=$G37,IF(C133&lt;$O44,"Lo-Z",IF(C133&gt;100,$G38,$G39)),C49))</f>
        <v/>
      </c>
      <c r="D144" s="67" t="str">
        <f>IF(LEN($B144)&lt;1,"",IF(D49=$G37,IF(D133&lt;$O44,"Lo-Z",IF(D133&gt;100,$G38,$G39)),D49))</f>
        <v/>
      </c>
      <c r="E144" s="67" t="str">
        <f>IF(LEN($B144)&lt;1,"",IF(E49=$G37,IF(E133&lt;$O44,"Lo-Z",IF(E133&gt;100,$G38,$G39)),E49))</f>
        <v/>
      </c>
      <c r="F144" s="67" t="str">
        <f>IF(LEN($B144)&lt;1,"",IF(F49=$G37,IF(F133&lt;$O44,"Lo-Z",IF(F133&gt;100,$G38,$G39)),F49))</f>
        <v/>
      </c>
      <c r="G144" s="67"/>
      <c r="H144" s="67"/>
      <c r="I144" s="67"/>
      <c r="J144" s="67"/>
      <c r="L144" s="69"/>
      <c r="M144" s="134"/>
      <c r="Y144" s="63"/>
    </row>
  </sheetData>
  <sheetProtection algorithmName="SHA-512" hashValue="hcV1mB26EVbX92k8YNdx93BAUdQPV1A2UV3Ej+VmvqCr8I0iMtQtExB8rku1lKqFnkjHubYpaUC244m7SyNBLg==" saltValue="gnjRxJ8ToRG8wVifNe/eug==" spinCount="100000" sheet="1" objects="1" scenarios="1" selectLockedCells="1"/>
  <mergeCells count="10">
    <mergeCell ref="V18:W18"/>
    <mergeCell ref="X18:Y18"/>
    <mergeCell ref="C20:J20"/>
    <mergeCell ref="C86:J86"/>
    <mergeCell ref="M123:M124"/>
    <mergeCell ref="K17:L17"/>
    <mergeCell ref="C9:D9"/>
    <mergeCell ref="C11:J11"/>
    <mergeCell ref="K11:L11"/>
    <mergeCell ref="K16:L16"/>
  </mergeCells>
  <phoneticPr fontId="58" type="noConversion"/>
  <conditionalFormatting sqref="C121 C104:J104">
    <cfRule type="iconSet" priority="9">
      <iconSet iconSet="3Symbols">
        <cfvo type="percent" val="0"/>
        <cfvo type="num" val="-2.9"/>
        <cfvo type="num" val="-2"/>
      </iconSet>
    </cfRule>
  </conditionalFormatting>
  <conditionalFormatting sqref="C122:J122">
    <cfRule type="iconSet" priority="4">
      <iconSet iconSet="3Symbols">
        <cfvo type="percent" val="0"/>
        <cfvo type="num" val="-2.9"/>
        <cfvo type="num" val="-2"/>
      </iconSet>
    </cfRule>
  </conditionalFormatting>
  <conditionalFormatting sqref="C123:J123">
    <cfRule type="iconSet" priority="2">
      <iconSet iconSet="3Symbols">
        <cfvo type="percent" val="0"/>
        <cfvo type="num" val="-2.9"/>
        <cfvo type="num" val="-2"/>
      </iconSet>
    </cfRule>
  </conditionalFormatting>
  <conditionalFormatting sqref="D121">
    <cfRule type="iconSet" priority="8">
      <iconSet iconSet="3Symbols">
        <cfvo type="percent" val="0"/>
        <cfvo type="num" val="-2.9"/>
        <cfvo type="num" val="-2"/>
      </iconSet>
    </cfRule>
  </conditionalFormatting>
  <conditionalFormatting sqref="E121:I121">
    <cfRule type="iconSet" priority="7">
      <iconSet iconSet="3Symbols">
        <cfvo type="percent" val="0"/>
        <cfvo type="num" val="-2.9"/>
        <cfvo type="num" val="-2"/>
      </iconSet>
    </cfRule>
  </conditionalFormatting>
  <conditionalFormatting sqref="J121">
    <cfRule type="iconSet" priority="6">
      <iconSet iconSet="3Symbols">
        <cfvo type="percent" val="0"/>
        <cfvo type="num" val="-2.9"/>
        <cfvo type="num" val="-2"/>
      </iconSet>
    </cfRule>
  </conditionalFormatting>
  <conditionalFormatting sqref="K121">
    <cfRule type="iconSet" priority="3">
      <iconSet iconSet="3Symbols">
        <cfvo type="percent" val="0"/>
        <cfvo type="num" val="-2.9"/>
        <cfvo type="num" val="-2"/>
      </iconSet>
    </cfRule>
  </conditionalFormatting>
  <conditionalFormatting sqref="K122">
    <cfRule type="iconSet" priority="5">
      <iconSet iconSet="3Symbols">
        <cfvo type="percent" val="0"/>
        <cfvo type="num" val="-2.9"/>
        <cfvo type="num" val="-2"/>
      </iconSet>
    </cfRule>
  </conditionalFormatting>
  <conditionalFormatting sqref="L123">
    <cfRule type="iconSet" priority="1">
      <iconSet iconSet="3Symbols">
        <cfvo type="percent" val="0"/>
        <cfvo type="num" val="-2.9"/>
        <cfvo type="num" val="-2"/>
      </iconSet>
    </cfRule>
  </conditionalFormatting>
  <dataValidations count="7">
    <dataValidation operator="greaterThanOrEqual" allowBlank="1" showErrorMessage="1" errorTitle="DATA ERROR" error="Final impedancevalue must be over 2 ohm" sqref="D26:J26" xr:uid="{00000000-0002-0000-0100-000000000000}"/>
    <dataValidation type="list" allowBlank="1" showInputMessage="1" showErrorMessage="1" sqref="C14:J14" xr:uid="{00000000-0002-0000-0100-000001000000}">
      <formula1>$G$2:$G$6</formula1>
    </dataValidation>
    <dataValidation type="list" allowBlank="1" showInputMessage="1" showErrorMessage="1" sqref="C10" xr:uid="{00000000-0002-0000-0100-000002000000}">
      <formula1>$AB$3:$AB$11</formula1>
    </dataValidation>
    <dataValidation type="decimal" allowBlank="1" showErrorMessage="1" errorTitle="ERROR" error="Allowed value between 2 and 128" sqref="C15:J15" xr:uid="{00000000-0002-0000-0100-000005000000}">
      <formula1>2</formula1>
      <formula2>128</formula2>
    </dataValidation>
    <dataValidation type="decimal" operator="greaterThanOrEqual" allowBlank="1" showErrorMessage="1" errorTitle="DATA ERROR" error="Final impedancevalue must be over 2 ohm" sqref="C26" xr:uid="{00000000-0002-0000-0100-000006000000}">
      <formula1>2</formula1>
    </dataValidation>
    <dataValidation type="list" allowBlank="1" showInputMessage="1" showErrorMessage="1" sqref="C17:J17" xr:uid="{A60191B2-355D-4221-9E17-02F3DE1CA1BC}">
      <formula1>$U$12:$U$16</formula1>
    </dataValidation>
    <dataValidation type="list" allowBlank="1" showInputMessage="1" showErrorMessage="1" sqref="C9" xr:uid="{00000000-0002-0000-0100-000003000000}">
      <formula1>$P$2:$S$2</formula1>
    </dataValidation>
  </dataValidations>
  <pageMargins left="0.75" right="0.75" top="1" bottom="1" header="0.5" footer="0.5"/>
  <pageSetup paperSize="9" orientation="portrait" horizontalDpi="4294967292" verticalDpi="4294967292"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O168"/>
  <sheetViews>
    <sheetView showGridLines="0" showRowColHeaders="0" zoomScaleNormal="100" workbookViewId="0">
      <pane ySplit="7" topLeftCell="A8" activePane="bottomLeft" state="frozen"/>
      <selection activeCell="A7" sqref="A7"/>
      <selection pane="bottomLeft" activeCell="C9" sqref="C9:D9"/>
    </sheetView>
  </sheetViews>
  <sheetFormatPr defaultColWidth="10.625" defaultRowHeight="15.75"/>
  <cols>
    <col min="1" max="1" width="1.625" style="1" customWidth="1"/>
    <col min="2" max="2" width="61.625" style="194" bestFit="1" customWidth="1"/>
    <col min="3" max="6" width="13.125" style="1" customWidth="1"/>
    <col min="7" max="10" width="14" style="1" hidden="1" customWidth="1"/>
    <col min="11" max="11" width="13.375" style="2" hidden="1" customWidth="1"/>
    <col min="12" max="12" width="10.125" style="2" hidden="1" customWidth="1"/>
    <col min="13" max="13" width="77.5" style="1" customWidth="1"/>
    <col min="14" max="14" width="16.5" style="1" hidden="1" customWidth="1"/>
    <col min="15" max="15" width="11.875" style="1" hidden="1" customWidth="1"/>
    <col min="16" max="19" width="17.5" style="1" hidden="1" customWidth="1"/>
    <col min="20" max="22" width="16.625" style="1" hidden="1" customWidth="1"/>
    <col min="23" max="25" width="14" style="1" hidden="1" customWidth="1"/>
    <col min="26" max="26" width="10" style="1" hidden="1" customWidth="1"/>
    <col min="27" max="27" width="10.125" style="1" hidden="1" customWidth="1"/>
    <col min="28" max="28" width="10.625" style="1" hidden="1" customWidth="1"/>
    <col min="29" max="30" width="11.375" style="1" hidden="1" customWidth="1"/>
    <col min="31" max="31" width="14" style="1" hidden="1" customWidth="1"/>
    <col min="32" max="32" width="7.5" style="1" hidden="1" customWidth="1"/>
    <col min="33" max="33" width="10.625" style="1" hidden="1" customWidth="1"/>
    <col min="34" max="34" width="17.5" style="1" hidden="1" customWidth="1"/>
    <col min="35" max="39" width="10.625" style="1" hidden="1" customWidth="1"/>
    <col min="40" max="45" width="10.625" style="1" customWidth="1"/>
    <col min="46" max="16384" width="10.625" style="1"/>
  </cols>
  <sheetData>
    <row r="1" spans="2:40" ht="16.5" hidden="1" thickBot="1">
      <c r="K1" s="73" t="str">
        <f>IF(E10&lt;0.999*O27,"I&lt;Imax",IF(E10&gt;1.001*O27,"I&gt;Imax","I@Imax"))</f>
        <v>I&gt;Imax</v>
      </c>
      <c r="L1" s="73" t="str">
        <f>IF(L23&gt;0.01,"Pdes&lt;Pmax",IF(L23&lt;-0.01,"Pdes&gt;Pmax","Pdes@Pmax"))</f>
        <v>Pdes&gt;Pmax</v>
      </c>
      <c r="M1" s="3" t="str">
        <f>IF(L4="Pavg ok",IF(K4&gt;3,CONCATENATE("The amplifier should only need ",ROUND(K116,1),"A as an average over time. "),""),"")</f>
        <v/>
      </c>
    </row>
    <row r="2" spans="2:40" ht="15.95" hidden="1" customHeight="1">
      <c r="C2" s="4" t="s">
        <v>14</v>
      </c>
      <c r="D2" s="5"/>
      <c r="G2" s="1" t="s">
        <v>15</v>
      </c>
      <c r="K2" s="6" t="s">
        <v>16</v>
      </c>
      <c r="L2" s="74">
        <f>MAX(K116,AVERAGE(O12/O24/C10,O26/C10))</f>
        <v>0.45329670329670324</v>
      </c>
      <c r="M2" s="7" t="str">
        <f>IF(K1="I&lt;Imax",IF(K3&lt;-0.01,IF(L1="Pdes&lt;Pmax",IF(L4="Pavg&lt;Pdes","The amplifier can deliver the desired average power if the mains current is increased. ",""),""),""),"")</f>
        <v/>
      </c>
      <c r="N2" s="8" t="s">
        <v>17</v>
      </c>
      <c r="O2" s="9" t="s">
        <v>18</v>
      </c>
      <c r="P2" s="94" t="s">
        <v>176</v>
      </c>
      <c r="Q2" s="94" t="s">
        <v>177</v>
      </c>
      <c r="R2" s="91" t="s">
        <v>178</v>
      </c>
      <c r="S2" s="91" t="s">
        <v>179</v>
      </c>
      <c r="T2" s="91" t="s">
        <v>180</v>
      </c>
      <c r="U2" s="91" t="s">
        <v>181</v>
      </c>
      <c r="V2" s="91" t="s">
        <v>202</v>
      </c>
      <c r="W2" s="91" t="s">
        <v>201</v>
      </c>
      <c r="X2" s="91" t="s">
        <v>203</v>
      </c>
      <c r="Y2" s="91" t="s">
        <v>204</v>
      </c>
      <c r="AH2" s="1" t="s">
        <v>19</v>
      </c>
    </row>
    <row r="3" spans="2:40" ht="15.95" hidden="1" customHeight="1">
      <c r="C3" s="10" t="s">
        <v>20</v>
      </c>
      <c r="D3" s="11">
        <v>60</v>
      </c>
      <c r="G3" s="1" t="s">
        <v>21</v>
      </c>
      <c r="H3" s="75">
        <f>SQRT(2)*100</f>
        <v>141.42135623730951</v>
      </c>
      <c r="K3" s="17">
        <f>10*LOG10(L2/O27)</f>
        <v>-9.9682995321049344</v>
      </c>
      <c r="L3" s="12" t="s">
        <v>22</v>
      </c>
      <c r="M3" s="13" t="str">
        <f>IF(E10&lt;L2,IF(L1="Pdes&gt;Pmax",IF(K5&lt;-0.01,"It can get closer to the desired average power with a higher mains current availability. ",""),""),"")</f>
        <v/>
      </c>
      <c r="N3" s="1" t="s">
        <v>23</v>
      </c>
      <c r="O3" s="14">
        <f>INDEX(P3:Y3,1,MATCH(C$9,P$2:Y$2,0))</f>
        <v>320</v>
      </c>
      <c r="P3" s="87">
        <v>320</v>
      </c>
      <c r="Q3" s="86">
        <v>600</v>
      </c>
      <c r="R3" s="87">
        <v>9600</v>
      </c>
      <c r="S3" s="87">
        <v>6000</v>
      </c>
      <c r="T3" s="87">
        <v>2400</v>
      </c>
      <c r="U3" s="87">
        <v>1200</v>
      </c>
      <c r="V3" s="87">
        <v>5000</v>
      </c>
      <c r="W3" s="87">
        <v>9000</v>
      </c>
      <c r="X3" s="87">
        <v>12000</v>
      </c>
      <c r="Y3" s="15">
        <v>16000</v>
      </c>
      <c r="Z3" s="86" cm="1">
        <f t="array" ref="Z3">MIN(IF($C$22:$F$22&gt;150,500,600))</f>
        <v>500</v>
      </c>
      <c r="AH3" s="2">
        <v>100</v>
      </c>
    </row>
    <row r="4" spans="2:40" ht="15.95" hidden="1" customHeight="1">
      <c r="C4" s="10" t="s">
        <v>24</v>
      </c>
      <c r="D4" s="16">
        <f>25^2/D3</f>
        <v>10.416666666666666</v>
      </c>
      <c r="G4" s="1" t="s">
        <v>25</v>
      </c>
      <c r="H4" s="75">
        <v>100</v>
      </c>
      <c r="K4" s="17">
        <f>10*LOG10(E10/K116)</f>
        <v>15.562955106938052</v>
      </c>
      <c r="L4" s="73" t="str">
        <f>IF(K122&lt;-0.01,"Pavg&lt;Pdes","Pavg ok")</f>
        <v>Pavg&lt;Pdes</v>
      </c>
      <c r="M4" s="3" t="str">
        <f>IF(E10&gt;L2*1.01,IF(E10&lt;0.99*O27,IF(L4="Pavg&lt;Pdes",CONCATENATE("The desired total average power exceeds the capacity. It's expected to draw around ",ROUND(L2,1),"A when it reaches its total average power capacity so increasing the available current won't let it reach the desired average power. "),""),""),"")</f>
        <v/>
      </c>
      <c r="O4" s="14"/>
      <c r="P4" s="87">
        <v>80</v>
      </c>
      <c r="Q4" s="87">
        <v>150</v>
      </c>
      <c r="R4" s="87">
        <v>2400</v>
      </c>
      <c r="S4" s="87">
        <v>1200</v>
      </c>
      <c r="T4" s="87">
        <v>600</v>
      </c>
      <c r="U4" s="87">
        <v>300</v>
      </c>
      <c r="V4" s="87">
        <v>1250</v>
      </c>
      <c r="W4" s="87">
        <v>2250</v>
      </c>
      <c r="X4" s="87">
        <v>3000</v>
      </c>
      <c r="Y4" s="14">
        <v>4000</v>
      </c>
      <c r="Z4" s="14"/>
      <c r="AH4" s="2">
        <v>115</v>
      </c>
    </row>
    <row r="5" spans="2:40" ht="15.95" hidden="1" customHeight="1">
      <c r="C5" s="10" t="s">
        <v>26</v>
      </c>
      <c r="D5" s="16">
        <f>100^2/2/D3</f>
        <v>83.333333333333329</v>
      </c>
      <c r="G5" s="1" t="s">
        <v>27</v>
      </c>
      <c r="H5" s="75">
        <f>SQRT(2)*25</f>
        <v>35.355339059327378</v>
      </c>
      <c r="K5" s="17">
        <f>10*LOG10(E10/L2)</f>
        <v>15.477374220910747</v>
      </c>
      <c r="M5" s="13" t="str">
        <f>IF(E10&gt;O27*1.01,CONCATENATE("The amplifier is limited to ",O27,"A. "),"")</f>
        <v xml:space="preserve">The amplifier is limited to 4,5A. </v>
      </c>
      <c r="O5" s="14"/>
      <c r="P5" s="97">
        <f>P3/8</f>
        <v>40</v>
      </c>
      <c r="Q5" s="97">
        <f>Q3/8</f>
        <v>75</v>
      </c>
      <c r="R5" s="97">
        <f t="shared" ref="R5" si="0">R3/8</f>
        <v>1200</v>
      </c>
      <c r="S5" s="97">
        <f t="shared" ref="S5:U5" si="1">S3/8</f>
        <v>750</v>
      </c>
      <c r="T5" s="97">
        <f t="shared" si="1"/>
        <v>300</v>
      </c>
      <c r="U5" s="97">
        <f t="shared" si="1"/>
        <v>150</v>
      </c>
      <c r="V5" s="97">
        <f t="shared" ref="V5:Y5" si="2">V3/8</f>
        <v>625</v>
      </c>
      <c r="W5" s="97">
        <f t="shared" si="2"/>
        <v>1125</v>
      </c>
      <c r="X5" s="97">
        <f t="shared" si="2"/>
        <v>1500</v>
      </c>
      <c r="Y5" s="97">
        <f t="shared" si="2"/>
        <v>2000</v>
      </c>
      <c r="Z5" s="14"/>
      <c r="AH5" s="2">
        <v>120</v>
      </c>
    </row>
    <row r="6" spans="2:40" ht="17.25" hidden="1" customHeight="1" thickBot="1">
      <c r="C6" s="19" t="s">
        <v>28</v>
      </c>
      <c r="D6" s="20">
        <f>100^2/D3</f>
        <v>166.66666666666666</v>
      </c>
      <c r="G6" s="1" t="s">
        <v>29</v>
      </c>
      <c r="O6" s="14"/>
      <c r="P6" s="97">
        <f t="shared" ref="P6:U6" si="3">(P12-P23)*P16</f>
        <v>55.875</v>
      </c>
      <c r="Q6" s="97">
        <f t="shared" si="3"/>
        <v>85.715000000000003</v>
      </c>
      <c r="R6" s="97">
        <f t="shared" ref="R6" si="4">(R12-R23)*R16</f>
        <v>816.19999999999993</v>
      </c>
      <c r="S6" s="97">
        <f t="shared" si="3"/>
        <v>875.4319999999999</v>
      </c>
      <c r="T6" s="97">
        <f t="shared" si="3"/>
        <v>514.63199999999995</v>
      </c>
      <c r="U6" s="97">
        <f t="shared" si="3"/>
        <v>424.43200000000002</v>
      </c>
      <c r="V6" s="97">
        <f t="shared" ref="V6:Y6" si="5">(V12-V23)*V16</f>
        <v>499.15000000000003</v>
      </c>
      <c r="W6" s="97">
        <f t="shared" si="5"/>
        <v>928.05</v>
      </c>
      <c r="X6" s="97">
        <f t="shared" si="5"/>
        <v>1309.95</v>
      </c>
      <c r="Y6" s="97">
        <f t="shared" si="5"/>
        <v>1784.85</v>
      </c>
      <c r="Z6" s="14"/>
      <c r="AH6" s="2">
        <v>125</v>
      </c>
    </row>
    <row r="7" spans="2:40" ht="99.95" customHeight="1" thickBot="1">
      <c r="C7" s="21"/>
      <c r="D7" s="84" t="s">
        <v>206</v>
      </c>
      <c r="E7" s="85"/>
      <c r="F7" s="85"/>
      <c r="I7" s="21"/>
      <c r="J7" s="21"/>
      <c r="M7" s="76"/>
      <c r="N7" s="1" t="s">
        <v>30</v>
      </c>
      <c r="O7" s="14">
        <f t="shared" ref="O7:O13" si="6">INDEX(P7:Y7,1,MATCH(C$9,P$2:Y$2,0))</f>
        <v>50</v>
      </c>
      <c r="P7" s="98">
        <f>MIN(P6,ROUND(AVERAGE(P6,P6,P6,P5),-1))</f>
        <v>50</v>
      </c>
      <c r="Q7" s="98">
        <f>MIN(Q6,ROUND(AVERAGE(Q6,Q6,Q6,Q5),-1))</f>
        <v>80</v>
      </c>
      <c r="R7" s="98">
        <f t="shared" ref="R7" si="7">MIN(R6,ROUND(AVERAGE(R6,R6,R6,R5),-1))</f>
        <v>816.19999999999993</v>
      </c>
      <c r="S7" s="98">
        <f t="shared" ref="S7:Y7" si="8">MIN(S6,ROUND(AVERAGE(S6,S6,S6,S5),-1))</f>
        <v>840</v>
      </c>
      <c r="T7" s="98">
        <f t="shared" si="8"/>
        <v>460</v>
      </c>
      <c r="U7" s="98">
        <f t="shared" si="8"/>
        <v>360</v>
      </c>
      <c r="V7" s="98">
        <f t="shared" si="8"/>
        <v>499.15000000000003</v>
      </c>
      <c r="W7" s="98">
        <f t="shared" si="8"/>
        <v>928.05</v>
      </c>
      <c r="X7" s="98">
        <f t="shared" si="8"/>
        <v>1309.95</v>
      </c>
      <c r="Y7" s="98">
        <f t="shared" si="8"/>
        <v>1784.85</v>
      </c>
      <c r="Z7" s="23"/>
      <c r="AH7" s="2">
        <v>173</v>
      </c>
      <c r="AN7" s="77"/>
    </row>
    <row r="8" spans="2:40" s="27" customFormat="1" ht="24.95" customHeight="1" thickBot="1">
      <c r="B8" s="283" t="s">
        <v>31</v>
      </c>
      <c r="C8" s="25"/>
      <c r="D8" s="25"/>
      <c r="E8" s="25"/>
      <c r="F8" s="25"/>
      <c r="G8" s="25"/>
      <c r="H8" s="25"/>
      <c r="I8" s="25"/>
      <c r="J8" s="25"/>
      <c r="K8" s="26"/>
      <c r="L8" s="26"/>
      <c r="M8" s="346" t="s">
        <v>32</v>
      </c>
      <c r="N8" s="27" t="s">
        <v>33</v>
      </c>
      <c r="O8" s="28">
        <f t="shared" si="6"/>
        <v>320</v>
      </c>
      <c r="P8" s="88">
        <v>320</v>
      </c>
      <c r="Q8" s="88">
        <v>600</v>
      </c>
      <c r="R8" s="88">
        <v>3500</v>
      </c>
      <c r="S8" s="88">
        <v>2200</v>
      </c>
      <c r="T8" s="88">
        <v>1200</v>
      </c>
      <c r="U8" s="88">
        <v>1100</v>
      </c>
      <c r="V8" s="88">
        <v>1800</v>
      </c>
      <c r="W8" s="88">
        <v>3200</v>
      </c>
      <c r="X8" s="88">
        <v>4000</v>
      </c>
      <c r="Y8" s="103">
        <v>5200</v>
      </c>
      <c r="Z8" s="28"/>
      <c r="AE8" s="27" t="s">
        <v>34</v>
      </c>
      <c r="AF8" s="31">
        <v>400</v>
      </c>
      <c r="AH8" s="32">
        <v>208</v>
      </c>
    </row>
    <row r="9" spans="2:40" s="27" customFormat="1" ht="24.95" customHeight="1">
      <c r="B9" s="233" t="s">
        <v>35</v>
      </c>
      <c r="C9" s="394" t="s">
        <v>176</v>
      </c>
      <c r="D9" s="395"/>
      <c r="K9" s="32"/>
      <c r="L9" s="32"/>
      <c r="M9" s="347"/>
      <c r="N9" s="27" t="s">
        <v>36</v>
      </c>
      <c r="O9" s="52">
        <f t="shared" si="6"/>
        <v>142</v>
      </c>
      <c r="P9" s="99">
        <v>142</v>
      </c>
      <c r="Q9" s="99">
        <v>142</v>
      </c>
      <c r="R9" s="99">
        <v>160</v>
      </c>
      <c r="S9" s="99">
        <v>139</v>
      </c>
      <c r="T9" s="99">
        <v>100</v>
      </c>
      <c r="U9" s="99">
        <v>70</v>
      </c>
      <c r="V9" s="99">
        <v>141</v>
      </c>
      <c r="W9" s="99">
        <v>170</v>
      </c>
      <c r="X9" s="99">
        <v>195</v>
      </c>
      <c r="Y9" s="104">
        <v>220</v>
      </c>
      <c r="Z9" s="28"/>
      <c r="AA9" s="35"/>
      <c r="AB9" s="35"/>
      <c r="AC9" s="35"/>
      <c r="AD9" s="35"/>
      <c r="AE9" s="27" t="s">
        <v>37</v>
      </c>
      <c r="AF9" s="31">
        <v>162</v>
      </c>
      <c r="AH9" s="32">
        <v>220</v>
      </c>
    </row>
    <row r="10" spans="2:40" s="27" customFormat="1" ht="30" customHeight="1" thickBot="1">
      <c r="B10" s="284" t="s">
        <v>38</v>
      </c>
      <c r="C10" s="356">
        <v>240</v>
      </c>
      <c r="D10" s="357">
        <v>16</v>
      </c>
      <c r="E10" s="355">
        <f>$D$10</f>
        <v>16</v>
      </c>
      <c r="F10" s="80"/>
      <c r="G10" s="80"/>
      <c r="H10" s="80"/>
      <c r="I10" s="80"/>
      <c r="J10" s="80"/>
      <c r="K10" s="80"/>
      <c r="L10" s="80"/>
      <c r="M10" s="348" t="str">
        <f>CONCATENATE($M$1,$M$2,$M$3,$M$4,$M$5)</f>
        <v xml:space="preserve">The amplifier is limited to 4,5A. </v>
      </c>
      <c r="N10" s="27" t="s">
        <v>39</v>
      </c>
      <c r="O10" s="37">
        <f t="shared" si="6"/>
        <v>17.8</v>
      </c>
      <c r="P10" s="89">
        <v>17.8</v>
      </c>
      <c r="Q10" s="89">
        <v>17.8</v>
      </c>
      <c r="R10" s="89">
        <v>50</v>
      </c>
      <c r="S10" s="89">
        <v>45</v>
      </c>
      <c r="T10" s="89">
        <v>43</v>
      </c>
      <c r="U10" s="89">
        <v>43</v>
      </c>
      <c r="V10" s="89">
        <v>50</v>
      </c>
      <c r="W10" s="89">
        <v>60</v>
      </c>
      <c r="X10" s="89">
        <v>70</v>
      </c>
      <c r="Y10" s="105">
        <v>80</v>
      </c>
      <c r="Z10" s="38"/>
      <c r="AA10" s="35"/>
      <c r="AB10" s="35"/>
      <c r="AC10" s="35"/>
      <c r="AD10" s="35"/>
      <c r="AE10" s="27" t="s">
        <v>29</v>
      </c>
      <c r="AF10" s="31">
        <f>AF8-AF9</f>
        <v>238</v>
      </c>
      <c r="AH10" s="32">
        <v>230</v>
      </c>
      <c r="AN10" s="40"/>
    </row>
    <row r="11" spans="2:40" s="136" customFormat="1" ht="15" customHeight="1">
      <c r="B11" s="140"/>
      <c r="C11" s="396" t="s">
        <v>40</v>
      </c>
      <c r="D11" s="396"/>
      <c r="E11" s="396"/>
      <c r="F11" s="396"/>
      <c r="G11" s="396"/>
      <c r="H11" s="396"/>
      <c r="I11" s="396"/>
      <c r="J11" s="396"/>
      <c r="K11" s="397"/>
      <c r="L11" s="397"/>
      <c r="M11" s="350"/>
      <c r="N11" s="136" t="s">
        <v>41</v>
      </c>
      <c r="O11" s="266">
        <f t="shared" si="6"/>
        <v>142</v>
      </c>
      <c r="P11" s="287">
        <v>142</v>
      </c>
      <c r="Q11" s="287">
        <v>142</v>
      </c>
      <c r="R11" s="287">
        <v>160</v>
      </c>
      <c r="S11" s="287">
        <v>139</v>
      </c>
      <c r="T11" s="287">
        <v>145</v>
      </c>
      <c r="U11" s="287">
        <v>145</v>
      </c>
      <c r="V11" s="287">
        <v>141</v>
      </c>
      <c r="W11" s="287">
        <v>170</v>
      </c>
      <c r="X11" s="287">
        <v>195</v>
      </c>
      <c r="Y11" s="267">
        <v>220</v>
      </c>
      <c r="Z11" s="137"/>
      <c r="AA11" s="288" t="s">
        <v>42</v>
      </c>
      <c r="AB11" s="289" t="s">
        <v>43</v>
      </c>
      <c r="AC11" s="289" t="s">
        <v>44</v>
      </c>
      <c r="AD11" s="289" t="s">
        <v>45</v>
      </c>
      <c r="AE11" s="290" t="s">
        <v>46</v>
      </c>
      <c r="AF11" s="269">
        <f>-10*LOG10(AF9/AF8)</f>
        <v>3.9254497678533138</v>
      </c>
      <c r="AH11" s="163">
        <v>240</v>
      </c>
      <c r="AN11" s="140"/>
    </row>
    <row r="12" spans="2:40" s="136" customFormat="1" ht="24.95" customHeight="1" thickBot="1">
      <c r="B12" s="233" t="s">
        <v>47</v>
      </c>
      <c r="C12" s="374">
        <v>1</v>
      </c>
      <c r="D12" s="374">
        <v>2</v>
      </c>
      <c r="E12" s="374">
        <v>3</v>
      </c>
      <c r="F12" s="349">
        <v>4</v>
      </c>
      <c r="G12" s="374">
        <v>5</v>
      </c>
      <c r="H12" s="374">
        <v>6</v>
      </c>
      <c r="I12" s="374">
        <v>7</v>
      </c>
      <c r="J12" s="374">
        <v>8</v>
      </c>
      <c r="K12" s="163"/>
      <c r="L12" s="163"/>
      <c r="M12" s="270"/>
      <c r="N12" s="136" t="s">
        <v>48</v>
      </c>
      <c r="O12" s="151">
        <f t="shared" si="6"/>
        <v>90</v>
      </c>
      <c r="P12" s="291">
        <v>90</v>
      </c>
      <c r="Q12" s="291">
        <v>128</v>
      </c>
      <c r="R12" s="291">
        <v>1200</v>
      </c>
      <c r="S12" s="291">
        <v>1100</v>
      </c>
      <c r="T12" s="291">
        <v>660</v>
      </c>
      <c r="U12" s="291">
        <v>550</v>
      </c>
      <c r="V12" s="291">
        <v>800</v>
      </c>
      <c r="W12" s="291">
        <v>1400</v>
      </c>
      <c r="X12" s="291">
        <v>1900</v>
      </c>
      <c r="Y12" s="271">
        <v>2500</v>
      </c>
      <c r="Z12" s="151"/>
      <c r="AA12" s="292" t="s">
        <v>49</v>
      </c>
      <c r="AB12" s="272">
        <v>14</v>
      </c>
      <c r="AC12" s="273">
        <v>12</v>
      </c>
      <c r="AD12" s="274">
        <v>2</v>
      </c>
      <c r="AE12" s="293">
        <v>0.7</v>
      </c>
    </row>
    <row r="13" spans="2:40" s="27" customFormat="1" ht="24.75" customHeight="1">
      <c r="B13" s="40" t="s">
        <v>50</v>
      </c>
      <c r="C13" s="107">
        <v>350</v>
      </c>
      <c r="D13" s="107">
        <v>350</v>
      </c>
      <c r="E13" s="107">
        <v>200</v>
      </c>
      <c r="F13" s="107">
        <v>6</v>
      </c>
      <c r="G13" s="107">
        <v>100</v>
      </c>
      <c r="H13" s="107">
        <v>100</v>
      </c>
      <c r="I13" s="107">
        <v>100</v>
      </c>
      <c r="J13" s="107">
        <v>100</v>
      </c>
      <c r="K13" s="79"/>
      <c r="L13" s="79"/>
      <c r="M13" s="46" t="s">
        <v>51</v>
      </c>
      <c r="N13" s="27" t="s">
        <v>52</v>
      </c>
      <c r="O13" s="28">
        <f t="shared" si="6"/>
        <v>13.96875</v>
      </c>
      <c r="P13" s="88">
        <f>P6/4</f>
        <v>13.96875</v>
      </c>
      <c r="Q13" s="88">
        <f t="shared" ref="Q13:Y13" si="9">Q6/4</f>
        <v>21.428750000000001</v>
      </c>
      <c r="R13" s="88">
        <f t="shared" si="9"/>
        <v>204.04999999999998</v>
      </c>
      <c r="S13" s="88">
        <f t="shared" si="9"/>
        <v>218.85799999999998</v>
      </c>
      <c r="T13" s="88">
        <f t="shared" si="9"/>
        <v>128.65799999999999</v>
      </c>
      <c r="U13" s="88">
        <f t="shared" si="9"/>
        <v>106.108</v>
      </c>
      <c r="V13" s="88">
        <f t="shared" si="9"/>
        <v>124.78750000000001</v>
      </c>
      <c r="W13" s="88">
        <f t="shared" si="9"/>
        <v>232.01249999999999</v>
      </c>
      <c r="X13" s="88">
        <f t="shared" si="9"/>
        <v>327.48750000000001</v>
      </c>
      <c r="Y13" s="88">
        <f t="shared" si="9"/>
        <v>446.21249999999998</v>
      </c>
      <c r="Z13" s="28"/>
      <c r="AA13" s="130" t="s">
        <v>53</v>
      </c>
      <c r="AB13" s="43">
        <f t="shared" ref="AB13:AB16" si="10">AC13+AD13</f>
        <v>15.4</v>
      </c>
      <c r="AC13" s="44">
        <v>14</v>
      </c>
      <c r="AD13" s="45">
        <v>1.4</v>
      </c>
      <c r="AE13" s="123">
        <v>0.65</v>
      </c>
      <c r="AN13" s="40"/>
    </row>
    <row r="14" spans="2:40" s="27" customFormat="1" ht="24.95" customHeight="1">
      <c r="B14" s="140" t="s">
        <v>54</v>
      </c>
      <c r="C14" s="108" t="s">
        <v>15</v>
      </c>
      <c r="D14" s="108" t="s">
        <v>15</v>
      </c>
      <c r="E14" s="108" t="s">
        <v>21</v>
      </c>
      <c r="F14" s="108" t="s">
        <v>21</v>
      </c>
      <c r="G14" s="108" t="s">
        <v>29</v>
      </c>
      <c r="H14" s="108" t="s">
        <v>29</v>
      </c>
      <c r="I14" s="108" t="s">
        <v>29</v>
      </c>
      <c r="J14" s="108" t="s">
        <v>29</v>
      </c>
      <c r="K14" s="79"/>
      <c r="L14" s="79"/>
      <c r="M14" s="46" t="s">
        <v>55</v>
      </c>
      <c r="N14" s="80"/>
      <c r="O14" s="28"/>
      <c r="P14" s="88"/>
      <c r="Q14" s="88"/>
      <c r="R14" s="88"/>
      <c r="S14" s="88"/>
      <c r="T14" s="88"/>
      <c r="U14" s="88"/>
      <c r="V14" s="88"/>
      <c r="W14" s="88"/>
      <c r="X14" s="88"/>
      <c r="Y14" s="42"/>
      <c r="Z14" s="28"/>
      <c r="AA14" s="130" t="s">
        <v>56</v>
      </c>
      <c r="AB14" s="43">
        <f t="shared" si="10"/>
        <v>17.2</v>
      </c>
      <c r="AC14" s="47">
        <v>16</v>
      </c>
      <c r="AD14" s="48">
        <v>1.2</v>
      </c>
      <c r="AE14" s="123">
        <v>0.6</v>
      </c>
      <c r="AN14" s="40"/>
    </row>
    <row r="15" spans="2:40" s="27" customFormat="1" ht="24.95" customHeight="1">
      <c r="B15" s="140" t="s">
        <v>57</v>
      </c>
      <c r="C15" s="109">
        <v>8</v>
      </c>
      <c r="D15" s="109">
        <v>8</v>
      </c>
      <c r="E15" s="109">
        <v>4</v>
      </c>
      <c r="F15" s="109">
        <v>4</v>
      </c>
      <c r="G15" s="109">
        <v>4</v>
      </c>
      <c r="H15" s="109">
        <v>4</v>
      </c>
      <c r="I15" s="109">
        <v>4</v>
      </c>
      <c r="J15" s="109">
        <v>4</v>
      </c>
      <c r="K15" s="79"/>
      <c r="L15" s="79"/>
      <c r="M15" s="46" t="s">
        <v>58</v>
      </c>
      <c r="N15" s="80"/>
      <c r="O15" s="28">
        <f t="shared" ref="O15:O21" si="11">INDEX(P15:Y15,1,MATCH(C$9,P$2:Y$2,0))</f>
        <v>288</v>
      </c>
      <c r="P15" s="88">
        <f t="shared" ref="P15:Y15" si="12">0.9*P8</f>
        <v>288</v>
      </c>
      <c r="Q15" s="88">
        <f t="shared" si="12"/>
        <v>540</v>
      </c>
      <c r="R15" s="88">
        <f t="shared" ref="R15" si="13">0.9*R8</f>
        <v>3150</v>
      </c>
      <c r="S15" s="88">
        <f t="shared" si="12"/>
        <v>1980</v>
      </c>
      <c r="T15" s="88">
        <f t="shared" si="12"/>
        <v>1080</v>
      </c>
      <c r="U15" s="88">
        <f t="shared" si="12"/>
        <v>990</v>
      </c>
      <c r="V15" s="88">
        <f t="shared" si="12"/>
        <v>1620</v>
      </c>
      <c r="W15" s="88">
        <f t="shared" si="12"/>
        <v>2880</v>
      </c>
      <c r="X15" s="88">
        <f t="shared" si="12"/>
        <v>3600</v>
      </c>
      <c r="Y15" s="88">
        <f t="shared" si="12"/>
        <v>4680</v>
      </c>
      <c r="Z15" s="28"/>
      <c r="AA15" s="130" t="s">
        <v>59</v>
      </c>
      <c r="AB15" s="43">
        <f t="shared" si="10"/>
        <v>19.8</v>
      </c>
      <c r="AC15" s="44">
        <v>19</v>
      </c>
      <c r="AD15" s="45">
        <v>0.8</v>
      </c>
      <c r="AE15" s="123">
        <v>0.55000000000000004</v>
      </c>
      <c r="AN15" s="40"/>
    </row>
    <row r="16" spans="2:40" s="27" customFormat="1" ht="24.95" customHeight="1">
      <c r="B16" s="140" t="s">
        <v>60</v>
      </c>
      <c r="C16" s="110">
        <v>2</v>
      </c>
      <c r="D16" s="110">
        <v>2</v>
      </c>
      <c r="E16" s="110">
        <v>3</v>
      </c>
      <c r="F16" s="110">
        <v>8</v>
      </c>
      <c r="G16" s="110">
        <v>1</v>
      </c>
      <c r="H16" s="110">
        <v>1</v>
      </c>
      <c r="I16" s="110">
        <v>1</v>
      </c>
      <c r="J16" s="110">
        <v>1</v>
      </c>
      <c r="K16" s="399"/>
      <c r="L16" s="399"/>
      <c r="M16" s="46" t="s">
        <v>61</v>
      </c>
      <c r="N16" s="82" t="s">
        <v>62</v>
      </c>
      <c r="O16" s="49">
        <f t="shared" si="11"/>
        <v>0.75</v>
      </c>
      <c r="P16" s="100">
        <v>0.75</v>
      </c>
      <c r="Q16" s="100">
        <v>0.79</v>
      </c>
      <c r="R16" s="100">
        <v>0.7</v>
      </c>
      <c r="S16" s="100">
        <v>0.82</v>
      </c>
      <c r="T16" s="100">
        <v>0.82</v>
      </c>
      <c r="U16" s="100">
        <v>0.82</v>
      </c>
      <c r="V16" s="100">
        <v>0.67</v>
      </c>
      <c r="W16" s="100">
        <v>0.69</v>
      </c>
      <c r="X16" s="100">
        <v>0.71</v>
      </c>
      <c r="Y16" s="50">
        <v>0.73</v>
      </c>
      <c r="Z16" s="49"/>
      <c r="AA16" s="131" t="s">
        <v>63</v>
      </c>
      <c r="AB16" s="124">
        <f t="shared" si="10"/>
        <v>16.820599913279622</v>
      </c>
      <c r="AC16" s="125">
        <f>10*LOG10(40)</f>
        <v>16.020599913279622</v>
      </c>
      <c r="AD16" s="126">
        <v>0.8</v>
      </c>
      <c r="AE16" s="127">
        <v>0.6</v>
      </c>
      <c r="AN16" s="40"/>
    </row>
    <row r="17" spans="2:41" s="27" customFormat="1" ht="24.95" customHeight="1">
      <c r="B17" s="140" t="s">
        <v>42</v>
      </c>
      <c r="C17" s="111" t="s">
        <v>63</v>
      </c>
      <c r="D17" s="111" t="s">
        <v>63</v>
      </c>
      <c r="E17" s="111" t="s">
        <v>63</v>
      </c>
      <c r="F17" s="111" t="s">
        <v>63</v>
      </c>
      <c r="G17" s="111" t="s">
        <v>49</v>
      </c>
      <c r="H17" s="111" t="s">
        <v>49</v>
      </c>
      <c r="I17" s="111" t="s">
        <v>49</v>
      </c>
      <c r="J17" s="111" t="s">
        <v>49</v>
      </c>
      <c r="K17" s="392"/>
      <c r="L17" s="392"/>
      <c r="M17" s="46" t="s">
        <v>64</v>
      </c>
      <c r="N17" s="80" t="s">
        <v>65</v>
      </c>
      <c r="O17" s="52">
        <f t="shared" si="11"/>
        <v>73</v>
      </c>
      <c r="P17" s="90">
        <v>73</v>
      </c>
      <c r="Q17" s="90">
        <v>98</v>
      </c>
      <c r="R17" s="90">
        <v>163</v>
      </c>
      <c r="S17" s="90">
        <v>145</v>
      </c>
      <c r="T17" s="90">
        <v>145</v>
      </c>
      <c r="U17" s="90">
        <v>145</v>
      </c>
      <c r="V17" s="90">
        <v>140</v>
      </c>
      <c r="W17" s="90">
        <v>170</v>
      </c>
      <c r="X17" s="90">
        <v>195</v>
      </c>
      <c r="Y17" s="53">
        <v>220</v>
      </c>
      <c r="Z17" s="52"/>
      <c r="AB17" s="39"/>
      <c r="AN17" s="40"/>
    </row>
    <row r="18" spans="2:41" s="27" customFormat="1" ht="29.25" hidden="1" customHeight="1">
      <c r="B18" s="140" t="s">
        <v>66</v>
      </c>
      <c r="C18" s="112">
        <f t="shared" ref="C18:J18" si="14">INDEX($AB$12:$AB$17,MATCH(C$17,$AA$12:$AA$17,0),1)</f>
        <v>16.820599913279622</v>
      </c>
      <c r="D18" s="112">
        <f t="shared" si="14"/>
        <v>16.820599913279622</v>
      </c>
      <c r="E18" s="112">
        <f t="shared" si="14"/>
        <v>16.820599913279622</v>
      </c>
      <c r="F18" s="112">
        <f t="shared" si="14"/>
        <v>16.820599913279622</v>
      </c>
      <c r="G18" s="112">
        <f t="shared" si="14"/>
        <v>14</v>
      </c>
      <c r="H18" s="112">
        <f t="shared" si="14"/>
        <v>14</v>
      </c>
      <c r="I18" s="112">
        <f t="shared" si="14"/>
        <v>14</v>
      </c>
      <c r="J18" s="112">
        <f t="shared" si="14"/>
        <v>14</v>
      </c>
      <c r="K18" s="81"/>
      <c r="L18" s="32"/>
      <c r="M18" s="54" t="s">
        <v>67</v>
      </c>
      <c r="N18" s="82" t="s">
        <v>68</v>
      </c>
      <c r="O18" s="49">
        <f t="shared" si="11"/>
        <v>0.63</v>
      </c>
      <c r="P18" s="100">
        <v>0.63</v>
      </c>
      <c r="Q18" s="100">
        <v>0.66</v>
      </c>
      <c r="R18" s="100">
        <v>0.62</v>
      </c>
      <c r="S18" s="100">
        <v>0.49</v>
      </c>
      <c r="T18" s="100">
        <v>0.49</v>
      </c>
      <c r="U18" s="100">
        <v>0.49</v>
      </c>
      <c r="V18" s="100"/>
      <c r="W18" s="100"/>
      <c r="X18" s="100"/>
      <c r="Y18" s="50"/>
      <c r="Z18" s="49"/>
      <c r="AA18" s="128"/>
      <c r="AB18" s="401" t="s">
        <v>69</v>
      </c>
      <c r="AC18" s="402"/>
      <c r="AD18" s="401" t="s">
        <v>70</v>
      </c>
      <c r="AE18" s="402"/>
      <c r="AN18" s="40"/>
    </row>
    <row r="19" spans="2:41" s="27" customFormat="1" ht="24.95" customHeight="1" thickBot="1">
      <c r="B19" s="166" t="s">
        <v>71</v>
      </c>
      <c r="C19" s="113">
        <v>0</v>
      </c>
      <c r="D19" s="113">
        <v>0</v>
      </c>
      <c r="E19" s="113">
        <v>0</v>
      </c>
      <c r="F19" s="113">
        <v>0</v>
      </c>
      <c r="G19" s="113">
        <v>0</v>
      </c>
      <c r="H19" s="113">
        <v>0</v>
      </c>
      <c r="I19" s="113">
        <v>0</v>
      </c>
      <c r="J19" s="113">
        <v>0</v>
      </c>
      <c r="K19" s="72"/>
      <c r="L19" s="72"/>
      <c r="M19" s="46" t="s">
        <v>72</v>
      </c>
      <c r="N19" s="83" t="s">
        <v>73</v>
      </c>
      <c r="O19" s="52">
        <f t="shared" si="11"/>
        <v>39</v>
      </c>
      <c r="P19" s="99">
        <v>39</v>
      </c>
      <c r="Q19" s="99">
        <v>45</v>
      </c>
      <c r="R19" s="99">
        <v>78</v>
      </c>
      <c r="S19" s="99">
        <v>60</v>
      </c>
      <c r="T19" s="99">
        <v>60</v>
      </c>
      <c r="U19" s="99">
        <v>60</v>
      </c>
      <c r="V19" s="99"/>
      <c r="W19" s="99"/>
      <c r="X19" s="99"/>
      <c r="Y19" s="53"/>
      <c r="Z19" s="34"/>
      <c r="AA19" s="129" t="s">
        <v>42</v>
      </c>
      <c r="AB19" s="68" t="s">
        <v>74</v>
      </c>
      <c r="AC19" s="115" t="s">
        <v>75</v>
      </c>
      <c r="AD19" s="68" t="s">
        <v>74</v>
      </c>
      <c r="AE19" s="115" t="s">
        <v>75</v>
      </c>
      <c r="AN19" s="40"/>
    </row>
    <row r="20" spans="2:41" s="136" customFormat="1" ht="15" customHeight="1">
      <c r="B20" s="135" t="s">
        <v>76</v>
      </c>
      <c r="C20" s="403" t="s">
        <v>40</v>
      </c>
      <c r="D20" s="403"/>
      <c r="E20" s="403"/>
      <c r="F20" s="403"/>
      <c r="G20" s="403"/>
      <c r="H20" s="403"/>
      <c r="I20" s="403"/>
      <c r="J20" s="408"/>
      <c r="K20" s="377" t="s">
        <v>77</v>
      </c>
      <c r="L20" s="377" t="s">
        <v>78</v>
      </c>
      <c r="M20" s="228"/>
      <c r="N20" s="136" t="s">
        <v>79</v>
      </c>
      <c r="O20" s="136">
        <f t="shared" si="11"/>
        <v>3.529411764705882E-3</v>
      </c>
      <c r="P20" s="294">
        <f t="shared" ref="P20:Y20" si="15">(P16-P18)/(P17-P19)</f>
        <v>3.529411764705882E-3</v>
      </c>
      <c r="Q20" s="294">
        <f t="shared" si="15"/>
        <v>2.4528301886792454E-3</v>
      </c>
      <c r="R20" s="294">
        <f t="shared" ref="R20" si="16">(R16-R18)/(R17-R19)</f>
        <v>9.4117647058823478E-4</v>
      </c>
      <c r="S20" s="294">
        <f t="shared" si="15"/>
        <v>3.88235294117647E-3</v>
      </c>
      <c r="T20" s="294">
        <f t="shared" si="15"/>
        <v>3.88235294117647E-3</v>
      </c>
      <c r="U20" s="294">
        <f t="shared" si="15"/>
        <v>3.88235294117647E-3</v>
      </c>
      <c r="V20" s="294">
        <f t="shared" si="15"/>
        <v>4.7857142857142864E-3</v>
      </c>
      <c r="W20" s="294">
        <f t="shared" si="15"/>
        <v>4.058823529411764E-3</v>
      </c>
      <c r="X20" s="294">
        <f t="shared" si="15"/>
        <v>3.641025641025641E-3</v>
      </c>
      <c r="Y20" s="294">
        <f t="shared" si="15"/>
        <v>3.3181818181818182E-3</v>
      </c>
      <c r="Z20" s="137"/>
      <c r="AA20" s="292" t="s">
        <v>49</v>
      </c>
      <c r="AB20" s="138" t="s">
        <v>80</v>
      </c>
      <c r="AC20" s="139" t="s">
        <v>81</v>
      </c>
      <c r="AD20" s="138" t="s">
        <v>82</v>
      </c>
      <c r="AE20" s="139" t="s">
        <v>83</v>
      </c>
    </row>
    <row r="21" spans="2:41" s="136" customFormat="1" ht="18" customHeight="1">
      <c r="B21" s="140"/>
      <c r="C21" s="375">
        <f t="shared" ref="C21:J21" si="17">C12</f>
        <v>1</v>
      </c>
      <c r="D21" s="375">
        <f t="shared" si="17"/>
        <v>2</v>
      </c>
      <c r="E21" s="375">
        <f t="shared" si="17"/>
        <v>3</v>
      </c>
      <c r="F21" s="375">
        <f t="shared" si="17"/>
        <v>4</v>
      </c>
      <c r="G21" s="375">
        <f t="shared" si="17"/>
        <v>5</v>
      </c>
      <c r="H21" s="375">
        <f t="shared" si="17"/>
        <v>6</v>
      </c>
      <c r="I21" s="375">
        <f t="shared" si="17"/>
        <v>7</v>
      </c>
      <c r="J21" s="376">
        <f t="shared" si="17"/>
        <v>8</v>
      </c>
      <c r="K21" s="375"/>
      <c r="L21" s="375"/>
      <c r="M21" s="142"/>
      <c r="N21" s="136" t="s">
        <v>84</v>
      </c>
      <c r="O21" s="143">
        <f t="shared" si="11"/>
        <v>0.4923529411764706</v>
      </c>
      <c r="P21" s="295">
        <f t="shared" ref="P21:Y21" si="18">P16-P17*P20</f>
        <v>0.4923529411764706</v>
      </c>
      <c r="Q21" s="295">
        <f t="shared" si="18"/>
        <v>0.54962264150943396</v>
      </c>
      <c r="R21" s="295">
        <f t="shared" ref="R21" si="19">R16-R17*R20</f>
        <v>0.54658823529411771</v>
      </c>
      <c r="S21" s="295">
        <f t="shared" si="18"/>
        <v>0.25705882352941178</v>
      </c>
      <c r="T21" s="295">
        <f t="shared" si="18"/>
        <v>0.25705882352941178</v>
      </c>
      <c r="U21" s="295">
        <f t="shared" si="18"/>
        <v>0.25705882352941178</v>
      </c>
      <c r="V21" s="295">
        <f t="shared" si="18"/>
        <v>0</v>
      </c>
      <c r="W21" s="295">
        <f t="shared" si="18"/>
        <v>0</v>
      </c>
      <c r="X21" s="295">
        <f t="shared" si="18"/>
        <v>0</v>
      </c>
      <c r="Y21" s="295">
        <f t="shared" si="18"/>
        <v>0</v>
      </c>
      <c r="AA21" s="292" t="s">
        <v>53</v>
      </c>
      <c r="AB21" s="138" t="s">
        <v>85</v>
      </c>
      <c r="AC21" s="139" t="s">
        <v>86</v>
      </c>
      <c r="AD21" s="138" t="s">
        <v>87</v>
      </c>
      <c r="AE21" s="139" t="s">
        <v>82</v>
      </c>
    </row>
    <row r="22" spans="2:41" s="136" customFormat="1" ht="18" customHeight="1">
      <c r="B22" s="140" t="s">
        <v>88</v>
      </c>
      <c r="C22" s="144">
        <f t="shared" ref="C22:J22" si="20">IF(C14=$G6,0.0000001,C13*IF(C14=$G2,2,1)*C16*10^(C19/10))</f>
        <v>1400</v>
      </c>
      <c r="D22" s="144">
        <f t="shared" si="20"/>
        <v>1400</v>
      </c>
      <c r="E22" s="144">
        <f t="shared" si="20"/>
        <v>600</v>
      </c>
      <c r="F22" s="144">
        <f t="shared" si="20"/>
        <v>48</v>
      </c>
      <c r="G22" s="144">
        <f t="shared" si="20"/>
        <v>9.9999999999999995E-8</v>
      </c>
      <c r="H22" s="144">
        <f t="shared" si="20"/>
        <v>9.9999999999999995E-8</v>
      </c>
      <c r="I22" s="144">
        <f t="shared" si="20"/>
        <v>9.9999999999999995E-8</v>
      </c>
      <c r="J22" s="296">
        <f t="shared" si="20"/>
        <v>9.9999999999999995E-8</v>
      </c>
      <c r="K22" s="144">
        <f>SUM(C22:J22)</f>
        <v>3448.0000003999994</v>
      </c>
      <c r="L22" s="146">
        <f>10*LOG10(O$3/K22)</f>
        <v>-10.324172788831515</v>
      </c>
      <c r="M22" s="147" t="s">
        <v>89</v>
      </c>
      <c r="P22" s="297"/>
      <c r="Q22" s="297"/>
      <c r="R22" s="294"/>
      <c r="S22" s="294"/>
      <c r="T22" s="294"/>
      <c r="U22" s="294"/>
      <c r="V22" s="294"/>
      <c r="W22" s="294"/>
      <c r="X22" s="294"/>
      <c r="Z22" s="143"/>
      <c r="AA22" s="292" t="s">
        <v>56</v>
      </c>
      <c r="AB22" s="138" t="s">
        <v>90</v>
      </c>
      <c r="AC22" s="139" t="s">
        <v>91</v>
      </c>
      <c r="AD22" s="138" t="s">
        <v>92</v>
      </c>
      <c r="AE22" s="139" t="s">
        <v>93</v>
      </c>
    </row>
    <row r="23" spans="2:41" s="136" customFormat="1" ht="18" hidden="1" customHeight="1">
      <c r="B23" s="140" t="s">
        <v>94</v>
      </c>
      <c r="C23" s="148">
        <f t="shared" ref="C23:J23" si="21">C22*2*10^(-C18/10)</f>
        <v>58.223463977186988</v>
      </c>
      <c r="D23" s="148">
        <f t="shared" si="21"/>
        <v>58.223463977186988</v>
      </c>
      <c r="E23" s="148">
        <f t="shared" si="21"/>
        <v>24.952913133080138</v>
      </c>
      <c r="F23" s="148">
        <f t="shared" si="21"/>
        <v>1.996233050646411</v>
      </c>
      <c r="G23" s="148">
        <f t="shared" si="21"/>
        <v>7.9621434110699445E-9</v>
      </c>
      <c r="H23" s="148">
        <f t="shared" si="21"/>
        <v>7.9621434110699445E-9</v>
      </c>
      <c r="I23" s="148">
        <f t="shared" si="21"/>
        <v>7.9621434110699445E-9</v>
      </c>
      <c r="J23" s="251">
        <f t="shared" si="21"/>
        <v>7.9621434110699445E-9</v>
      </c>
      <c r="K23" s="148">
        <f>SUM(C23:J23)</f>
        <v>143.39607416994912</v>
      </c>
      <c r="L23" s="146">
        <f>IF(K23&gt;0,10*LOG10(O$7/K23),100)</f>
        <v>-4.5756725724913307</v>
      </c>
      <c r="M23" s="150" t="str">
        <f>IF(L23&lt;-0.01,CONCATENATE("The sustainable total average power is limited to ",O7," W"),"")</f>
        <v>The sustainable total average power is limited to 50 W</v>
      </c>
      <c r="N23" s="136" t="s">
        <v>95</v>
      </c>
      <c r="O23" s="151">
        <f>INDEX(P23:Y23,1,MATCH(C$9,P$2:Y$2,0))</f>
        <v>15.5</v>
      </c>
      <c r="P23" s="298">
        <v>15.5</v>
      </c>
      <c r="Q23" s="298">
        <v>19.5</v>
      </c>
      <c r="R23" s="298">
        <v>34</v>
      </c>
      <c r="S23" s="298">
        <v>32.4</v>
      </c>
      <c r="T23" s="298">
        <v>32.4</v>
      </c>
      <c r="U23" s="298">
        <v>32.4</v>
      </c>
      <c r="V23" s="298">
        <v>55</v>
      </c>
      <c r="W23" s="298">
        <v>55</v>
      </c>
      <c r="X23" s="298">
        <v>55</v>
      </c>
      <c r="Y23" s="151">
        <v>55</v>
      </c>
      <c r="Z23" s="152"/>
      <c r="AA23" s="292" t="s">
        <v>59</v>
      </c>
      <c r="AB23" s="138" t="s">
        <v>96</v>
      </c>
      <c r="AC23" s="139" t="s">
        <v>97</v>
      </c>
      <c r="AD23" s="138" t="s">
        <v>98</v>
      </c>
      <c r="AE23" s="139" t="s">
        <v>92</v>
      </c>
      <c r="AO23" s="153"/>
    </row>
    <row r="24" spans="2:41" s="136" customFormat="1" ht="18" hidden="1" customHeight="1">
      <c r="B24" s="140" t="s">
        <v>99</v>
      </c>
      <c r="C24" s="154">
        <f>SQRT(C22*2*C26)</f>
        <v>105.83005244258362</v>
      </c>
      <c r="D24" s="154">
        <f t="shared" ref="D24:J24" si="22">SQRT(D22*2*D26)</f>
        <v>105.83005244258362</v>
      </c>
      <c r="E24" s="154">
        <f t="shared" si="22"/>
        <v>141.42135623730951</v>
      </c>
      <c r="F24" s="154">
        <f t="shared" si="22"/>
        <v>141.42135623730951</v>
      </c>
      <c r="G24" s="154">
        <f t="shared" si="22"/>
        <v>4.4721359549995794E-2</v>
      </c>
      <c r="H24" s="154">
        <f t="shared" si="22"/>
        <v>4.4721359549995794E-2</v>
      </c>
      <c r="I24" s="154">
        <f t="shared" si="22"/>
        <v>4.4721359549995794E-2</v>
      </c>
      <c r="J24" s="256">
        <f t="shared" si="22"/>
        <v>4.4721359549995794E-2</v>
      </c>
      <c r="K24" s="154">
        <f>MAX(C24:J24)</f>
        <v>141.42135623730951</v>
      </c>
      <c r="L24" s="146"/>
      <c r="M24" s="147"/>
      <c r="N24" s="136" t="s">
        <v>100</v>
      </c>
      <c r="O24" s="156">
        <f>INDEX(P24:Y24,1,MATCH(C$9,P$2:Y$2,0))</f>
        <v>0.91</v>
      </c>
      <c r="P24" s="299">
        <v>0.91</v>
      </c>
      <c r="Q24" s="299">
        <v>0.91</v>
      </c>
      <c r="R24" s="299">
        <v>0.9</v>
      </c>
      <c r="S24" s="299">
        <v>0.82</v>
      </c>
      <c r="T24" s="299">
        <v>0.82</v>
      </c>
      <c r="U24" s="299">
        <v>0.82</v>
      </c>
      <c r="V24" s="299">
        <v>0.95</v>
      </c>
      <c r="W24" s="299">
        <v>0.96</v>
      </c>
      <c r="X24" s="299">
        <v>0.97</v>
      </c>
      <c r="Y24" s="156">
        <v>0.99</v>
      </c>
      <c r="Z24" s="152"/>
      <c r="AA24" s="300" t="s">
        <v>63</v>
      </c>
      <c r="AB24" s="157" t="s">
        <v>90</v>
      </c>
      <c r="AC24" s="158" t="s">
        <v>91</v>
      </c>
      <c r="AD24" s="157" t="s">
        <v>92</v>
      </c>
      <c r="AE24" s="158" t="s">
        <v>93</v>
      </c>
    </row>
    <row r="25" spans="2:41" s="136" customFormat="1" ht="18" hidden="1" customHeight="1">
      <c r="B25" s="140" t="s">
        <v>101</v>
      </c>
      <c r="C25" s="159">
        <f t="shared" ref="C25:F25" si="23">SQRT(C22*2/C27)</f>
        <v>29.58039891549808</v>
      </c>
      <c r="D25" s="159">
        <f t="shared" si="23"/>
        <v>29.58039891549808</v>
      </c>
      <c r="E25" s="159">
        <f t="shared" si="23"/>
        <v>9.0763353122407739</v>
      </c>
      <c r="F25" s="159">
        <f t="shared" si="23"/>
        <v>0.73545622491490359</v>
      </c>
      <c r="G25" s="159">
        <f>SQRT(G22*2/G27)</f>
        <v>5.1639089432829867E-6</v>
      </c>
      <c r="H25" s="159">
        <f t="shared" ref="H25:J25" si="24">SQRT(H22*2/H27)</f>
        <v>5.1639089432829867E-6</v>
      </c>
      <c r="I25" s="159">
        <f t="shared" si="24"/>
        <v>5.1639089432829867E-6</v>
      </c>
      <c r="J25" s="301">
        <f t="shared" si="24"/>
        <v>5.1639089432829867E-6</v>
      </c>
      <c r="K25" s="154"/>
      <c r="L25" s="146"/>
      <c r="M25" s="147"/>
      <c r="O25" s="156"/>
      <c r="Y25" s="156"/>
      <c r="Z25" s="152"/>
    </row>
    <row r="26" spans="2:41" s="136" customFormat="1" ht="18" customHeight="1">
      <c r="B26" s="140" t="s">
        <v>102</v>
      </c>
      <c r="C26" s="161">
        <f t="shared" ref="C26:J26" si="25">IF(IF(C14=$G2,C15/C16,IF(C14=$G6,10000,INDEX($H2:$H6,MATCH(C14,$G2:$G6,0),1)^2/2/C22))&gt;=2,IF(C14=$G2,C15/C16,IF(C14=$G6,10000,INDEX($H2:$H6,MATCH(C14,$G2:$G6,0),1)^2/2/C22)),NA())</f>
        <v>4</v>
      </c>
      <c r="D26" s="161">
        <f t="shared" si="25"/>
        <v>4</v>
      </c>
      <c r="E26" s="161">
        <f t="shared" si="25"/>
        <v>16.666666666666668</v>
      </c>
      <c r="F26" s="161">
        <f t="shared" si="25"/>
        <v>208.33333333333334</v>
      </c>
      <c r="G26" s="161">
        <f t="shared" si="25"/>
        <v>10000</v>
      </c>
      <c r="H26" s="161">
        <f t="shared" si="25"/>
        <v>10000</v>
      </c>
      <c r="I26" s="161">
        <f t="shared" si="25"/>
        <v>10000</v>
      </c>
      <c r="J26" s="302">
        <f t="shared" si="25"/>
        <v>10000</v>
      </c>
      <c r="K26" s="163"/>
      <c r="L26" s="163"/>
      <c r="M26" s="147" t="s">
        <v>103</v>
      </c>
      <c r="N26" s="136" t="s">
        <v>104</v>
      </c>
      <c r="O26" s="165">
        <f>INDEX(P26:Y26,1,MATCH(C$9,P$2:Y$2,0))</f>
        <v>118.68131868131866</v>
      </c>
      <c r="P26" s="303">
        <f t="shared" ref="P26:Y26" si="26">P12/P24*1.2</f>
        <v>118.68131868131866</v>
      </c>
      <c r="Q26" s="303">
        <f t="shared" si="26"/>
        <v>168.79120879120876</v>
      </c>
      <c r="R26" s="303">
        <f t="shared" ref="R26" si="27">R12/R24*1.2</f>
        <v>1599.9999999999998</v>
      </c>
      <c r="S26" s="303">
        <f t="shared" si="26"/>
        <v>1609.7560975609756</v>
      </c>
      <c r="T26" s="303">
        <f t="shared" si="26"/>
        <v>965.85365853658527</v>
      </c>
      <c r="U26" s="303">
        <f t="shared" si="26"/>
        <v>804.8780487804878</v>
      </c>
      <c r="V26" s="303">
        <f t="shared" si="26"/>
        <v>1010.5263157894738</v>
      </c>
      <c r="W26" s="303">
        <f t="shared" si="26"/>
        <v>1750.0000000000002</v>
      </c>
      <c r="X26" s="303">
        <f t="shared" si="26"/>
        <v>2350.5154639175257</v>
      </c>
      <c r="Y26" s="303">
        <f t="shared" si="26"/>
        <v>3030.30303030303</v>
      </c>
      <c r="Z26" s="165"/>
    </row>
    <row r="27" spans="2:41" s="136" customFormat="1" ht="18" hidden="1" customHeight="1" thickBot="1">
      <c r="B27" s="166" t="s">
        <v>105</v>
      </c>
      <c r="C27" s="167">
        <f t="shared" ref="C27:J27" si="28">IF(RIGHT(C14,1)="V",C26*0.85+0.4,C26*0.75+0.2)</f>
        <v>3.2</v>
      </c>
      <c r="D27" s="167">
        <f t="shared" si="28"/>
        <v>3.2</v>
      </c>
      <c r="E27" s="167">
        <f t="shared" si="28"/>
        <v>14.566666666666668</v>
      </c>
      <c r="F27" s="167">
        <f t="shared" si="28"/>
        <v>177.48333333333335</v>
      </c>
      <c r="G27" s="167">
        <f t="shared" si="28"/>
        <v>7500.2</v>
      </c>
      <c r="H27" s="167">
        <f t="shared" si="28"/>
        <v>7500.2</v>
      </c>
      <c r="I27" s="167">
        <f t="shared" si="28"/>
        <v>7500.2</v>
      </c>
      <c r="J27" s="304">
        <f t="shared" si="28"/>
        <v>7500.2</v>
      </c>
      <c r="K27" s="169"/>
      <c r="L27" s="169"/>
      <c r="M27" s="170" t="s">
        <v>106</v>
      </c>
      <c r="N27" s="171"/>
      <c r="O27" s="172">
        <f>INDEX(P27:Y27,1,MATCH(C$9,P$2:Y$2,0))</f>
        <v>4.5</v>
      </c>
      <c r="P27" s="305">
        <v>4.5</v>
      </c>
      <c r="Q27" s="305">
        <v>4.5</v>
      </c>
      <c r="R27" s="305">
        <v>15</v>
      </c>
      <c r="S27" s="305">
        <v>15</v>
      </c>
      <c r="T27" s="306">
        <v>7.5</v>
      </c>
      <c r="U27" s="306">
        <v>7.5</v>
      </c>
      <c r="V27" s="306">
        <v>7</v>
      </c>
      <c r="W27" s="305">
        <v>13</v>
      </c>
      <c r="X27" s="306">
        <v>17</v>
      </c>
      <c r="Y27" s="173">
        <v>23</v>
      </c>
      <c r="Z27" s="172"/>
    </row>
    <row r="28" spans="2:41" s="136" customFormat="1" ht="18" hidden="1" customHeight="1">
      <c r="B28" s="140"/>
      <c r="C28" s="161"/>
      <c r="D28" s="161"/>
      <c r="E28" s="161"/>
      <c r="F28" s="161"/>
      <c r="G28" s="161"/>
      <c r="H28" s="161"/>
      <c r="I28" s="161"/>
      <c r="J28" s="302"/>
      <c r="K28" s="174"/>
      <c r="L28" s="174"/>
      <c r="M28" s="175"/>
      <c r="N28" s="176"/>
      <c r="O28" s="172"/>
      <c r="P28" s="294"/>
      <c r="Q28" s="294"/>
      <c r="R28" s="294"/>
      <c r="S28" s="294"/>
      <c r="T28" s="294"/>
      <c r="U28" s="294"/>
      <c r="V28" s="294"/>
      <c r="W28" s="294"/>
      <c r="X28" s="294"/>
      <c r="Y28" s="307"/>
      <c r="Z28" s="172"/>
    </row>
    <row r="29" spans="2:41" s="136" customFormat="1" ht="18" hidden="1" customHeight="1">
      <c r="B29" s="140" t="s">
        <v>78</v>
      </c>
      <c r="C29" s="146">
        <f t="shared" ref="C29:J29" si="29">MIN(20*LOG10(1/MAX(C$25/$O$11,C$24/$O$10)),10*LOG10($O$8/C$22))</f>
        <v>-15.483780180523937</v>
      </c>
      <c r="D29" s="146">
        <f t="shared" si="29"/>
        <v>-15.483780180523937</v>
      </c>
      <c r="E29" s="146">
        <f t="shared" si="29"/>
        <v>-18.00189991046193</v>
      </c>
      <c r="F29" s="146">
        <f t="shared" si="29"/>
        <v>-18.00189991046193</v>
      </c>
      <c r="G29" s="146">
        <f t="shared" si="29"/>
        <v>51.99810008953807</v>
      </c>
      <c r="H29" s="146">
        <f t="shared" si="29"/>
        <v>51.99810008953807</v>
      </c>
      <c r="I29" s="146">
        <f t="shared" si="29"/>
        <v>51.99810008953807</v>
      </c>
      <c r="J29" s="258">
        <f t="shared" si="29"/>
        <v>51.99810008953807</v>
      </c>
      <c r="K29" s="174"/>
      <c r="L29" s="174"/>
      <c r="M29" s="175"/>
      <c r="N29" s="27" t="s">
        <v>182</v>
      </c>
      <c r="O29" s="64">
        <f>INDEX(P29:Y29,1,MATCH(C$9,P$2:Y$2,0))</f>
        <v>320</v>
      </c>
      <c r="P29" s="88">
        <v>320</v>
      </c>
      <c r="Q29" s="88">
        <v>600</v>
      </c>
      <c r="R29" s="64">
        <v>2100</v>
      </c>
      <c r="S29" s="64">
        <v>2100</v>
      </c>
      <c r="T29" s="64">
        <v>1500</v>
      </c>
      <c r="U29" s="64">
        <v>1100</v>
      </c>
      <c r="V29" s="64">
        <v>1500</v>
      </c>
      <c r="W29" s="88">
        <v>2500</v>
      </c>
      <c r="X29" s="88">
        <v>3000</v>
      </c>
      <c r="Y29" s="88">
        <v>3500</v>
      </c>
      <c r="Z29" s="172"/>
    </row>
    <row r="30" spans="2:41" s="136" customFormat="1" ht="15.95" hidden="1" customHeight="1">
      <c r="B30" s="234" t="s">
        <v>107</v>
      </c>
      <c r="J30" s="270"/>
      <c r="K30" s="163"/>
      <c r="L30" s="163"/>
      <c r="M30" s="164"/>
      <c r="N30" s="27" t="s">
        <v>183</v>
      </c>
      <c r="O30" s="64">
        <f>INDEX(P30:Y30,1,MATCH(C$9,P$2:Y$2,0))</f>
        <v>320</v>
      </c>
      <c r="P30" s="88">
        <v>320</v>
      </c>
      <c r="Q30" s="88">
        <v>500</v>
      </c>
      <c r="R30" s="64">
        <v>3000</v>
      </c>
      <c r="S30" s="64">
        <v>2200</v>
      </c>
      <c r="T30" s="64">
        <v>1700</v>
      </c>
      <c r="U30" s="64">
        <v>1100</v>
      </c>
      <c r="V30" s="64">
        <v>1800</v>
      </c>
      <c r="W30" s="88">
        <v>3200</v>
      </c>
      <c r="X30" s="88">
        <v>4000</v>
      </c>
      <c r="Y30" s="88">
        <v>5000</v>
      </c>
    </row>
    <row r="31" spans="2:41" s="136" customFormat="1" ht="15.95" hidden="1" customHeight="1">
      <c r="B31" s="234" t="s">
        <v>108</v>
      </c>
      <c r="C31" s="180">
        <f t="shared" ref="C31:J31" si="30">MIN(C22,$O$8)</f>
        <v>320</v>
      </c>
      <c r="D31" s="180">
        <f t="shared" si="30"/>
        <v>320</v>
      </c>
      <c r="E31" s="180">
        <f t="shared" si="30"/>
        <v>320</v>
      </c>
      <c r="F31" s="180">
        <f t="shared" si="30"/>
        <v>48</v>
      </c>
      <c r="G31" s="180">
        <f t="shared" si="30"/>
        <v>9.9999999999999995E-8</v>
      </c>
      <c r="H31" s="180">
        <f t="shared" si="30"/>
        <v>9.9999999999999995E-8</v>
      </c>
      <c r="I31" s="180">
        <f t="shared" si="30"/>
        <v>9.9999999999999995E-8</v>
      </c>
      <c r="J31" s="308">
        <f t="shared" si="30"/>
        <v>9.9999999999999995E-8</v>
      </c>
      <c r="K31" s="163"/>
      <c r="L31" s="163"/>
      <c r="M31" s="164"/>
    </row>
    <row r="32" spans="2:41" s="136" customFormat="1" ht="15.95" hidden="1" customHeight="1">
      <c r="B32" s="234" t="s">
        <v>109</v>
      </c>
      <c r="C32" s="180">
        <f t="shared" ref="C32:J32" si="31">MIN(C31,$O11^2/2/C26)</f>
        <v>320</v>
      </c>
      <c r="D32" s="180">
        <f t="shared" si="31"/>
        <v>320</v>
      </c>
      <c r="E32" s="180">
        <f t="shared" si="31"/>
        <v>320</v>
      </c>
      <c r="F32" s="180">
        <f t="shared" si="31"/>
        <v>48</v>
      </c>
      <c r="G32" s="180">
        <f t="shared" si="31"/>
        <v>9.9999999999999995E-8</v>
      </c>
      <c r="H32" s="180">
        <f t="shared" si="31"/>
        <v>9.9999999999999995E-8</v>
      </c>
      <c r="I32" s="180">
        <f t="shared" si="31"/>
        <v>9.9999999999999995E-8</v>
      </c>
      <c r="J32" s="308">
        <f t="shared" si="31"/>
        <v>9.9999999999999995E-8</v>
      </c>
      <c r="K32" s="163"/>
      <c r="L32" s="163"/>
      <c r="M32" s="164"/>
    </row>
    <row r="33" spans="2:25" s="136" customFormat="1" ht="15.95" hidden="1" customHeight="1">
      <c r="B33" s="285" t="s">
        <v>110</v>
      </c>
      <c r="C33" s="180">
        <f>MIN(($O10^2*C27)/2,C32)</f>
        <v>320</v>
      </c>
      <c r="D33" s="180">
        <f>MIN(($O10^2*D27)/2,D32)</f>
        <v>320</v>
      </c>
      <c r="E33" s="180">
        <f>MIN(($O10^2*E27)/2,E32)</f>
        <v>320</v>
      </c>
      <c r="F33" s="180">
        <f>MIN(($O10^2*F27)/2,F32)</f>
        <v>48</v>
      </c>
      <c r="G33" s="180">
        <f>MIN(($O10*G27)^2/2/G26,G32)</f>
        <v>9.9999999999999995E-8</v>
      </c>
      <c r="H33" s="180">
        <f>MIN(($O10*H27)^2/2/H26,H32)</f>
        <v>9.9999999999999995E-8</v>
      </c>
      <c r="I33" s="180">
        <f>MIN(($O10*I27)^2/2/I26,I32)</f>
        <v>9.9999999999999995E-8</v>
      </c>
      <c r="J33" s="308">
        <f>MIN(($O10*J27)^2/2/J26,J32)</f>
        <v>9.9999999999999995E-8</v>
      </c>
      <c r="K33" s="163"/>
      <c r="L33" s="163"/>
      <c r="M33" s="164"/>
    </row>
    <row r="34" spans="2:25" s="136" customFormat="1" ht="15.95" hidden="1" customHeight="1">
      <c r="B34" s="140" t="s">
        <v>111</v>
      </c>
      <c r="C34" s="148">
        <f t="shared" ref="C34:J34" si="32">IF(C22*10^($L22/10)&gt;$O8,$O8,C22*10^($L22/10))</f>
        <v>129.93039441648136</v>
      </c>
      <c r="D34" s="148">
        <f t="shared" si="32"/>
        <v>129.93039441648136</v>
      </c>
      <c r="E34" s="148">
        <f t="shared" si="32"/>
        <v>55.684454749920583</v>
      </c>
      <c r="F34" s="148">
        <f t="shared" si="32"/>
        <v>4.4547563799936469</v>
      </c>
      <c r="G34" s="148">
        <f t="shared" si="32"/>
        <v>9.2807424583200972E-9</v>
      </c>
      <c r="H34" s="148">
        <f t="shared" si="32"/>
        <v>9.2807424583200972E-9</v>
      </c>
      <c r="I34" s="148">
        <f t="shared" si="32"/>
        <v>9.2807424583200972E-9</v>
      </c>
      <c r="J34" s="251">
        <f t="shared" si="32"/>
        <v>9.2807424583200972E-9</v>
      </c>
      <c r="K34" s="148">
        <f>SUM(C34:J34)</f>
        <v>320</v>
      </c>
      <c r="L34" s="163"/>
      <c r="M34" s="164"/>
    </row>
    <row r="35" spans="2:25" s="136" customFormat="1" ht="15.95" hidden="1" customHeight="1">
      <c r="B35" s="140" t="s">
        <v>99</v>
      </c>
      <c r="C35" s="154">
        <f t="shared" ref="C35:J35" si="33">SQRT(C34*C$26*2)</f>
        <v>32.240396327152226</v>
      </c>
      <c r="D35" s="154">
        <f t="shared" si="33"/>
        <v>32.240396327152226</v>
      </c>
      <c r="E35" s="154">
        <f t="shared" si="33"/>
        <v>43.083041810717354</v>
      </c>
      <c r="F35" s="154">
        <f t="shared" si="33"/>
        <v>43.083041810717354</v>
      </c>
      <c r="G35" s="154">
        <f t="shared" si="33"/>
        <v>1.3624054065013172E-2</v>
      </c>
      <c r="H35" s="154">
        <f t="shared" si="33"/>
        <v>1.3624054065013172E-2</v>
      </c>
      <c r="I35" s="154">
        <f t="shared" si="33"/>
        <v>1.3624054065013172E-2</v>
      </c>
      <c r="J35" s="256">
        <f t="shared" si="33"/>
        <v>1.3624054065013172E-2</v>
      </c>
      <c r="K35" s="163"/>
      <c r="L35" s="163"/>
      <c r="M35" s="164"/>
    </row>
    <row r="36" spans="2:25" s="136" customFormat="1" ht="15.95" hidden="1" customHeight="1">
      <c r="B36" s="140" t="s">
        <v>101</v>
      </c>
      <c r="C36" s="159">
        <f t="shared" ref="C36:J36" si="34">(C35/C$27)</f>
        <v>10.07512385223507</v>
      </c>
      <c r="D36" s="159">
        <f t="shared" si="34"/>
        <v>10.07512385223507</v>
      </c>
      <c r="E36" s="159">
        <f t="shared" si="34"/>
        <v>2.957645890895928</v>
      </c>
      <c r="F36" s="159">
        <f t="shared" si="34"/>
        <v>0.24274415519232237</v>
      </c>
      <c r="G36" s="159">
        <f t="shared" si="34"/>
        <v>1.8164921022123639E-6</v>
      </c>
      <c r="H36" s="159">
        <f t="shared" si="34"/>
        <v>1.8164921022123639E-6</v>
      </c>
      <c r="I36" s="159">
        <f t="shared" si="34"/>
        <v>1.8164921022123639E-6</v>
      </c>
      <c r="J36" s="301">
        <f t="shared" si="34"/>
        <v>1.8164921022123639E-6</v>
      </c>
      <c r="K36" s="163"/>
      <c r="L36" s="163"/>
      <c r="M36" s="164"/>
    </row>
    <row r="37" spans="2:25" s="136" customFormat="1" ht="15.95" hidden="1" customHeight="1">
      <c r="B37" s="140" t="s">
        <v>78</v>
      </c>
      <c r="C37" s="146">
        <f>MIN(20*LOG10(1/MAX(C$35/$O$11,C$36/$O$10)),10*LOG10($O$8/C$34))</f>
        <v>3.9143922152481943</v>
      </c>
      <c r="D37" s="146">
        <f>MIN(20*LOG10(1/MAX(D$35/$O$11,D$36/$O$10)),10*LOG10($O$8/D$34))</f>
        <v>3.9143922152481943</v>
      </c>
      <c r="E37" s="146">
        <f t="shared" ref="E37:J37" si="35">20*LOG10(1/MAX(E35/$O11,E36/$O10))</f>
        <v>10.359639719852833</v>
      </c>
      <c r="F37" s="146">
        <f t="shared" si="35"/>
        <v>10.359639719852833</v>
      </c>
      <c r="G37" s="146">
        <f t="shared" si="35"/>
        <v>80.359639719852836</v>
      </c>
      <c r="H37" s="146">
        <f t="shared" si="35"/>
        <v>80.359639719852836</v>
      </c>
      <c r="I37" s="146">
        <f t="shared" si="35"/>
        <v>80.359639719852836</v>
      </c>
      <c r="J37" s="258">
        <f t="shared" si="35"/>
        <v>80.359639719852836</v>
      </c>
      <c r="K37" s="163"/>
      <c r="L37" s="163"/>
      <c r="M37" s="164"/>
    </row>
    <row r="38" spans="2:25" s="136" customFormat="1" ht="15.95" hidden="1" customHeight="1">
      <c r="B38" s="234" t="s">
        <v>112</v>
      </c>
      <c r="J38" s="270"/>
      <c r="K38" s="163"/>
      <c r="L38" s="163"/>
      <c r="M38" s="164"/>
    </row>
    <row r="39" spans="2:25" s="136" customFormat="1" ht="15.95" hidden="1" customHeight="1">
      <c r="B39" s="140" t="s">
        <v>113</v>
      </c>
      <c r="C39" s="182">
        <f t="shared" ref="C39:J39" si="36">SQRT(C40/C34)</f>
        <v>1</v>
      </c>
      <c r="D39" s="182">
        <f t="shared" si="36"/>
        <v>1</v>
      </c>
      <c r="E39" s="182">
        <f t="shared" si="36"/>
        <v>1</v>
      </c>
      <c r="F39" s="182">
        <f t="shared" si="36"/>
        <v>1</v>
      </c>
      <c r="G39" s="182">
        <f t="shared" si="36"/>
        <v>1</v>
      </c>
      <c r="H39" s="182">
        <f t="shared" si="36"/>
        <v>1</v>
      </c>
      <c r="I39" s="182">
        <f t="shared" si="36"/>
        <v>1</v>
      </c>
      <c r="J39" s="309">
        <f t="shared" si="36"/>
        <v>1</v>
      </c>
      <c r="K39" s="163"/>
      <c r="L39" s="163"/>
      <c r="M39" s="164"/>
      <c r="N39" s="184" t="s">
        <v>114</v>
      </c>
    </row>
    <row r="40" spans="2:25" s="136" customFormat="1" ht="15.95" hidden="1" customHeight="1">
      <c r="B40" s="140" t="s">
        <v>111</v>
      </c>
      <c r="C40" s="148">
        <f t="shared" ref="C40:J40" si="37">MIN(C34,C33)</f>
        <v>129.93039441648136</v>
      </c>
      <c r="D40" s="148">
        <f t="shared" si="37"/>
        <v>129.93039441648136</v>
      </c>
      <c r="E40" s="148">
        <f t="shared" si="37"/>
        <v>55.684454749920583</v>
      </c>
      <c r="F40" s="148">
        <f t="shared" si="37"/>
        <v>4.4547563799936469</v>
      </c>
      <c r="G40" s="148">
        <f t="shared" si="37"/>
        <v>9.2807424583200972E-9</v>
      </c>
      <c r="H40" s="148">
        <f t="shared" si="37"/>
        <v>9.2807424583200972E-9</v>
      </c>
      <c r="I40" s="148">
        <f t="shared" si="37"/>
        <v>9.2807424583200972E-9</v>
      </c>
      <c r="J40" s="251">
        <f t="shared" si="37"/>
        <v>9.2807424583200972E-9</v>
      </c>
      <c r="K40" s="148">
        <f>SUM(C40:J40)</f>
        <v>320</v>
      </c>
      <c r="L40" s="146">
        <f>10*LOG10(O$3/K40)</f>
        <v>0</v>
      </c>
      <c r="M40" s="147"/>
      <c r="N40" s="148">
        <f>IF(C$39&lt;1,0,C40)+IF(D$39&lt;1,0,D40)+IF(E$39&lt;1,0,E40)+IF(J$39&lt;1,0,J40)</f>
        <v>315.54524359216407</v>
      </c>
    </row>
    <row r="41" spans="2:25" s="136" customFormat="1" ht="15.95" hidden="1" customHeight="1">
      <c r="B41" s="140" t="s">
        <v>99</v>
      </c>
      <c r="C41" s="154">
        <f t="shared" ref="C41:J42" si="38">C35*C$39</f>
        <v>32.240396327152226</v>
      </c>
      <c r="D41" s="154">
        <f t="shared" si="38"/>
        <v>32.240396327152226</v>
      </c>
      <c r="E41" s="154">
        <f t="shared" si="38"/>
        <v>43.083041810717354</v>
      </c>
      <c r="F41" s="154">
        <f t="shared" si="38"/>
        <v>43.083041810717354</v>
      </c>
      <c r="G41" s="154">
        <f t="shared" si="38"/>
        <v>1.3624054065013172E-2</v>
      </c>
      <c r="H41" s="154">
        <f t="shared" si="38"/>
        <v>1.3624054065013172E-2</v>
      </c>
      <c r="I41" s="154">
        <f t="shared" si="38"/>
        <v>1.3624054065013172E-2</v>
      </c>
      <c r="J41" s="256">
        <f t="shared" si="38"/>
        <v>1.3624054065013172E-2</v>
      </c>
      <c r="K41" s="163"/>
      <c r="L41" s="185">
        <f>K34-K40</f>
        <v>0</v>
      </c>
      <c r="M41" s="186"/>
      <c r="N41" s="148">
        <f>IF(C$39&lt;1,0,C22)+IF(D$39&lt;1,0,D22)+IF(E$39&lt;1,0,E22)+IF(J$39&lt;1,0,J22)</f>
        <v>3400.0000000999999</v>
      </c>
    </row>
    <row r="42" spans="2:25" s="136" customFormat="1" ht="15.95" hidden="1" customHeight="1">
      <c r="B42" s="140" t="s">
        <v>101</v>
      </c>
      <c r="C42" s="159">
        <f t="shared" si="38"/>
        <v>10.07512385223507</v>
      </c>
      <c r="D42" s="159">
        <f t="shared" si="38"/>
        <v>10.07512385223507</v>
      </c>
      <c r="E42" s="159">
        <f t="shared" si="38"/>
        <v>2.957645890895928</v>
      </c>
      <c r="F42" s="159">
        <f t="shared" si="38"/>
        <v>0.24274415519232237</v>
      </c>
      <c r="G42" s="159">
        <f t="shared" si="38"/>
        <v>1.8164921022123639E-6</v>
      </c>
      <c r="H42" s="159">
        <f t="shared" si="38"/>
        <v>1.8164921022123639E-6</v>
      </c>
      <c r="I42" s="159">
        <f t="shared" si="38"/>
        <v>1.8164921022123639E-6</v>
      </c>
      <c r="J42" s="301">
        <f t="shared" si="38"/>
        <v>1.8164921022123639E-6</v>
      </c>
      <c r="K42" s="163"/>
      <c r="L42" s="182">
        <f>IF(N40&gt;0,SQRT((MIN(L41,N42)+N40)/N40),1)</f>
        <v>1</v>
      </c>
      <c r="M42" s="187"/>
      <c r="N42" s="185">
        <f>N41-N40</f>
        <v>3084.4547565078356</v>
      </c>
    </row>
    <row r="43" spans="2:25" s="136" customFormat="1" ht="15.95" hidden="1" customHeight="1">
      <c r="B43" s="234" t="s">
        <v>115</v>
      </c>
      <c r="J43" s="270"/>
      <c r="K43" s="163"/>
      <c r="L43" s="163"/>
      <c r="M43" s="164"/>
    </row>
    <row r="44" spans="2:25" s="136" customFormat="1" ht="15.95" hidden="1" customHeight="1">
      <c r="B44" s="140" t="s">
        <v>116</v>
      </c>
      <c r="C44" s="182">
        <f t="shared" ref="C44:J44" si="39">SQRT(C45/C40)</f>
        <v>1</v>
      </c>
      <c r="D44" s="182">
        <f t="shared" si="39"/>
        <v>1</v>
      </c>
      <c r="E44" s="182">
        <f t="shared" si="39"/>
        <v>1</v>
      </c>
      <c r="F44" s="182">
        <f t="shared" si="39"/>
        <v>1</v>
      </c>
      <c r="G44" s="182">
        <f t="shared" si="39"/>
        <v>1</v>
      </c>
      <c r="H44" s="182">
        <f t="shared" si="39"/>
        <v>1</v>
      </c>
      <c r="I44" s="182">
        <f t="shared" si="39"/>
        <v>1</v>
      </c>
      <c r="J44" s="309">
        <f t="shared" si="39"/>
        <v>1</v>
      </c>
      <c r="K44" s="163"/>
      <c r="L44" s="163"/>
      <c r="M44" s="164"/>
    </row>
    <row r="45" spans="2:25" s="136" customFormat="1" ht="15.95" hidden="1" customHeight="1">
      <c r="B45" s="140" t="s">
        <v>111</v>
      </c>
      <c r="C45" s="148">
        <f t="shared" ref="C45:J45" si="40">IF(C40&lt;0,C40,MIN($L42^2*C40,C33))</f>
        <v>129.93039441648136</v>
      </c>
      <c r="D45" s="148">
        <f t="shared" si="40"/>
        <v>129.93039441648136</v>
      </c>
      <c r="E45" s="148">
        <f t="shared" si="40"/>
        <v>55.684454749920583</v>
      </c>
      <c r="F45" s="148">
        <f t="shared" si="40"/>
        <v>4.4547563799936469</v>
      </c>
      <c r="G45" s="148">
        <f t="shared" si="40"/>
        <v>9.2807424583200972E-9</v>
      </c>
      <c r="H45" s="148">
        <f t="shared" si="40"/>
        <v>9.2807424583200972E-9</v>
      </c>
      <c r="I45" s="148">
        <f t="shared" si="40"/>
        <v>9.2807424583200972E-9</v>
      </c>
      <c r="J45" s="251">
        <f t="shared" si="40"/>
        <v>9.2807424583200972E-9</v>
      </c>
      <c r="K45" s="148">
        <f>SUM(C45:J45)</f>
        <v>320</v>
      </c>
      <c r="L45" s="146">
        <f>10*LOG10(O$3/K45)</f>
        <v>0</v>
      </c>
      <c r="M45" s="147"/>
      <c r="N45" s="148">
        <f>IF(C$48&gt;0,C45,0)+IF(D$48&gt;0,D45,0)+IF(E$48&gt;0,E45,0)+IF(J$48&gt;0,J45,0)</f>
        <v>315.54524359216407</v>
      </c>
      <c r="O45" s="153">
        <f>O3-K45</f>
        <v>0</v>
      </c>
    </row>
    <row r="46" spans="2:25" s="136" customFormat="1" ht="15.95" hidden="1" customHeight="1">
      <c r="B46" s="140" t="s">
        <v>99</v>
      </c>
      <c r="C46" s="154">
        <f t="shared" ref="C46:J46" si="41">SQRT(C45*C$26*2)</f>
        <v>32.240396327152226</v>
      </c>
      <c r="D46" s="154">
        <f t="shared" si="41"/>
        <v>32.240396327152226</v>
      </c>
      <c r="E46" s="154">
        <f t="shared" si="41"/>
        <v>43.083041810717354</v>
      </c>
      <c r="F46" s="154">
        <f t="shared" si="41"/>
        <v>43.083041810717354</v>
      </c>
      <c r="G46" s="154">
        <f t="shared" si="41"/>
        <v>1.3624054065013172E-2</v>
      </c>
      <c r="H46" s="154">
        <f t="shared" si="41"/>
        <v>1.3624054065013172E-2</v>
      </c>
      <c r="I46" s="154">
        <f t="shared" si="41"/>
        <v>1.3624054065013172E-2</v>
      </c>
      <c r="J46" s="256">
        <f t="shared" si="41"/>
        <v>1.3624054065013172E-2</v>
      </c>
      <c r="K46" s="163"/>
      <c r="L46" s="163"/>
      <c r="M46" s="164"/>
      <c r="N46" s="148">
        <f>IF(C49&gt;0,C46,0)+IF(D49&gt;0,D46,0)+IF(E49&gt;0,E46,0)+IF(J49&gt;0,J46,0)</f>
        <v>0</v>
      </c>
    </row>
    <row r="47" spans="2:25" s="188" customFormat="1" ht="15.95" hidden="1" customHeight="1">
      <c r="B47" s="226" t="s">
        <v>101</v>
      </c>
      <c r="C47" s="189">
        <f t="shared" ref="C47:J47" si="42">C46/C$27</f>
        <v>10.07512385223507</v>
      </c>
      <c r="D47" s="189">
        <f t="shared" si="42"/>
        <v>10.07512385223507</v>
      </c>
      <c r="E47" s="189">
        <f t="shared" si="42"/>
        <v>2.957645890895928</v>
      </c>
      <c r="F47" s="189">
        <f t="shared" si="42"/>
        <v>0.24274415519232237</v>
      </c>
      <c r="G47" s="189">
        <f t="shared" si="42"/>
        <v>1.8164921022123639E-6</v>
      </c>
      <c r="H47" s="189">
        <f t="shared" si="42"/>
        <v>1.8164921022123639E-6</v>
      </c>
      <c r="I47" s="189">
        <f t="shared" si="42"/>
        <v>1.8164921022123639E-6</v>
      </c>
      <c r="J47" s="310">
        <f t="shared" si="42"/>
        <v>1.8164921022123639E-6</v>
      </c>
      <c r="K47" s="191"/>
      <c r="L47" s="192">
        <f>IF(N46&gt;0,SQRT((N45+O45)/N45),1)</f>
        <v>1</v>
      </c>
      <c r="M47" s="193"/>
    </row>
    <row r="48" spans="2:25" s="136" customFormat="1" ht="15.95" hidden="1" customHeight="1">
      <c r="B48" s="140" t="s">
        <v>78</v>
      </c>
      <c r="C48" s="146">
        <f t="shared" ref="C48:J48" si="43">MIN(20*LOG10(1/MAX(C46/$O$11,C47/$O$10)),10*LOG10($O$8/C45))</f>
        <v>3.9143922152481943</v>
      </c>
      <c r="D48" s="146">
        <f t="shared" si="43"/>
        <v>3.9143922152481943</v>
      </c>
      <c r="E48" s="146">
        <f t="shared" si="43"/>
        <v>7.5941600681941379</v>
      </c>
      <c r="F48" s="146">
        <f t="shared" si="43"/>
        <v>10.359639719852833</v>
      </c>
      <c r="G48" s="146">
        <f t="shared" si="43"/>
        <v>80.359639719852836</v>
      </c>
      <c r="H48" s="146">
        <f t="shared" si="43"/>
        <v>80.359639719852836</v>
      </c>
      <c r="I48" s="146">
        <f t="shared" si="43"/>
        <v>80.359639719852836</v>
      </c>
      <c r="J48" s="258">
        <f t="shared" si="43"/>
        <v>80.359639719852836</v>
      </c>
      <c r="K48" s="163"/>
      <c r="L48" s="163"/>
      <c r="M48" s="164"/>
      <c r="N48" s="27" t="s">
        <v>184</v>
      </c>
      <c r="O48" s="64">
        <f>INDEX(P48:Y48,1,MATCH(C$9,P$2:Y$2,0))</f>
        <v>320</v>
      </c>
      <c r="P48" s="88">
        <v>320</v>
      </c>
      <c r="Q48" s="88">
        <v>600</v>
      </c>
      <c r="R48" s="64">
        <v>8000</v>
      </c>
      <c r="S48" s="64">
        <v>4800</v>
      </c>
      <c r="T48" s="64">
        <v>2400</v>
      </c>
      <c r="U48" s="64">
        <v>1200</v>
      </c>
      <c r="V48" s="64">
        <v>1500</v>
      </c>
      <c r="W48" s="88">
        <v>2500</v>
      </c>
      <c r="X48" s="88">
        <v>3000</v>
      </c>
      <c r="Y48" s="88">
        <v>3500</v>
      </c>
    </row>
    <row r="49" spans="2:25" s="136" customFormat="1" ht="15.95" hidden="1" customHeight="1">
      <c r="B49" s="234" t="s">
        <v>117</v>
      </c>
      <c r="J49" s="270"/>
      <c r="K49" s="163"/>
      <c r="L49" s="163"/>
      <c r="M49" s="164"/>
      <c r="N49" s="27" t="s">
        <v>185</v>
      </c>
      <c r="O49" s="64">
        <f>INDEX(P49:Y49,1,MATCH(C$9,P$2:Y$2,0))</f>
        <v>320</v>
      </c>
      <c r="P49" s="88">
        <v>320</v>
      </c>
      <c r="Q49" s="88">
        <v>500</v>
      </c>
      <c r="R49" s="64">
        <v>8000</v>
      </c>
      <c r="S49" s="64">
        <v>4800</v>
      </c>
      <c r="T49" s="64">
        <v>2400</v>
      </c>
      <c r="U49" s="64">
        <v>1200</v>
      </c>
      <c r="V49" s="64">
        <v>1800</v>
      </c>
      <c r="W49" s="88">
        <v>3200</v>
      </c>
      <c r="X49" s="88">
        <v>4000</v>
      </c>
      <c r="Y49" s="88">
        <v>5000</v>
      </c>
    </row>
    <row r="50" spans="2:25" s="136" customFormat="1" ht="15.95" hidden="1" customHeight="1">
      <c r="B50" s="140" t="s">
        <v>118</v>
      </c>
      <c r="C50" s="182">
        <f t="shared" ref="C50:J50" si="44">IF(C48&lt;0,10^(C48/20),IF(C48&gt;0,$L47,1))</f>
        <v>1</v>
      </c>
      <c r="D50" s="182">
        <f t="shared" si="44"/>
        <v>1</v>
      </c>
      <c r="E50" s="182">
        <f t="shared" si="44"/>
        <v>1</v>
      </c>
      <c r="F50" s="182">
        <f t="shared" si="44"/>
        <v>1</v>
      </c>
      <c r="G50" s="182">
        <f t="shared" si="44"/>
        <v>1</v>
      </c>
      <c r="H50" s="182">
        <f t="shared" si="44"/>
        <v>1</v>
      </c>
      <c r="I50" s="182">
        <f t="shared" si="44"/>
        <v>1</v>
      </c>
      <c r="J50" s="309">
        <f t="shared" si="44"/>
        <v>1</v>
      </c>
      <c r="K50" s="148"/>
      <c r="L50" s="163"/>
      <c r="M50" s="164"/>
    </row>
    <row r="51" spans="2:25" s="136" customFormat="1" ht="15.95" hidden="1" customHeight="1">
      <c r="B51" s="140" t="s">
        <v>119</v>
      </c>
      <c r="C51" s="182"/>
      <c r="D51" s="182"/>
      <c r="E51" s="182"/>
      <c r="F51" s="182"/>
      <c r="G51" s="182"/>
      <c r="H51" s="182"/>
      <c r="I51" s="182"/>
      <c r="J51" s="309"/>
      <c r="K51" s="148"/>
      <c r="L51" s="163"/>
      <c r="M51" s="164"/>
    </row>
    <row r="52" spans="2:25" s="194" customFormat="1" ht="16.5" hidden="1" thickBot="1">
      <c r="B52" s="286"/>
      <c r="J52" s="311"/>
      <c r="K52" s="196"/>
      <c r="L52" s="196"/>
      <c r="M52" s="197"/>
    </row>
    <row r="53" spans="2:25" s="194" customFormat="1" hidden="1">
      <c r="B53" s="364" t="s">
        <v>186</v>
      </c>
      <c r="C53" s="365" t="str">
        <f>IF(C$14="70V",10*LOG10($O$29/C$22),"")</f>
        <v/>
      </c>
      <c r="D53" s="365" t="str">
        <f>IF(D$14="70V",10*LOG10($O$29/D$22),"")</f>
        <v/>
      </c>
      <c r="E53" s="365" t="str">
        <f t="shared" ref="E53:F53" si="45">IF(E$14="70V",10*LOG10($O$29/E$22),"")</f>
        <v/>
      </c>
      <c r="F53" s="365" t="str">
        <f t="shared" si="45"/>
        <v/>
      </c>
      <c r="J53" s="311"/>
      <c r="K53" s="366" cm="1">
        <f t="array" ref="K53">IF(AND(C$14:F$14="70V"),10*LOG10($O$48/K$22),$L$22)</f>
        <v>-10.324172788831515</v>
      </c>
      <c r="L53" s="196"/>
      <c r="M53" s="197"/>
    </row>
    <row r="54" spans="2:25" s="194" customFormat="1" ht="16.5" hidden="1" thickBot="1">
      <c r="B54" s="367" t="s">
        <v>187</v>
      </c>
      <c r="C54" s="368" t="str">
        <f>IF(C$14="100V",10*LOG10($O$30/C$22),"")</f>
        <v/>
      </c>
      <c r="D54" s="368" t="str">
        <f>IF(D$14="100V",10*LOG10($O$30/D$22),"")</f>
        <v/>
      </c>
      <c r="E54" s="368">
        <f t="shared" ref="E54:F54" si="46">IF(E$14="100V",10*LOG10($O$30/E$22),"")</f>
        <v>-2.7300127206373763</v>
      </c>
      <c r="F54" s="368">
        <f t="shared" si="46"/>
        <v>8.2390874094431883</v>
      </c>
      <c r="J54" s="311"/>
      <c r="K54" s="369" cm="1">
        <f t="array" ref="K54">IF(AND(C$14:F$14="100V"),10*LOG10($O$49/K$22),$L$22)</f>
        <v>-10.324172788831515</v>
      </c>
      <c r="L54" s="196"/>
      <c r="M54" s="197"/>
    </row>
    <row r="55" spans="2:25" s="194" customFormat="1" hidden="1">
      <c r="B55" s="286"/>
      <c r="J55" s="311"/>
      <c r="K55" s="196"/>
      <c r="L55" s="196"/>
      <c r="M55" s="197"/>
    </row>
    <row r="56" spans="2:25" s="194" customFormat="1" hidden="1">
      <c r="B56" s="286"/>
      <c r="J56" s="311"/>
      <c r="K56" s="196"/>
      <c r="L56" s="196"/>
      <c r="M56" s="197"/>
    </row>
    <row r="57" spans="2:25" s="194" customFormat="1" hidden="1">
      <c r="B57" s="286"/>
      <c r="J57" s="311"/>
      <c r="K57" s="196"/>
      <c r="L57" s="196"/>
      <c r="M57" s="197"/>
    </row>
    <row r="58" spans="2:25" s="194" customFormat="1" hidden="1">
      <c r="B58" s="286"/>
      <c r="J58" s="311"/>
      <c r="K58" s="196"/>
      <c r="L58" s="196"/>
      <c r="M58" s="197"/>
    </row>
    <row r="59" spans="2:25" s="194" customFormat="1" hidden="1">
      <c r="B59" s="286"/>
      <c r="J59" s="311"/>
      <c r="K59" s="196"/>
      <c r="L59" s="196"/>
      <c r="M59" s="197"/>
    </row>
    <row r="60" spans="2:25" s="194" customFormat="1" hidden="1">
      <c r="B60" s="286"/>
      <c r="J60" s="311"/>
      <c r="K60" s="196"/>
      <c r="L60" s="196"/>
      <c r="M60" s="197"/>
    </row>
    <row r="61" spans="2:25" s="194" customFormat="1" hidden="1">
      <c r="B61" s="286"/>
      <c r="J61" s="311"/>
      <c r="K61" s="196"/>
      <c r="L61" s="196"/>
      <c r="M61" s="197"/>
    </row>
    <row r="62" spans="2:25" s="194" customFormat="1" hidden="1">
      <c r="B62" s="286"/>
      <c r="J62" s="311"/>
      <c r="K62" s="196"/>
      <c r="L62" s="196"/>
      <c r="M62" s="197"/>
    </row>
    <row r="63" spans="2:25" s="194" customFormat="1" hidden="1">
      <c r="B63" s="286"/>
      <c r="J63" s="311"/>
      <c r="K63" s="196"/>
      <c r="L63" s="196"/>
      <c r="M63" s="197"/>
    </row>
    <row r="64" spans="2:25" s="194" customFormat="1" hidden="1">
      <c r="B64" s="286"/>
      <c r="J64" s="311"/>
      <c r="K64" s="196"/>
      <c r="L64" s="196"/>
      <c r="M64" s="197"/>
    </row>
    <row r="65" spans="2:13" s="194" customFormat="1" hidden="1">
      <c r="B65" s="286"/>
      <c r="J65" s="311"/>
      <c r="K65" s="196"/>
      <c r="L65" s="196"/>
      <c r="M65" s="197"/>
    </row>
    <row r="66" spans="2:13" s="194" customFormat="1" hidden="1">
      <c r="B66" s="286"/>
      <c r="J66" s="311"/>
      <c r="K66" s="196"/>
      <c r="L66" s="196"/>
      <c r="M66" s="197"/>
    </row>
    <row r="67" spans="2:13" s="194" customFormat="1" hidden="1">
      <c r="B67" s="286"/>
      <c r="J67" s="311"/>
      <c r="K67" s="196"/>
      <c r="L67" s="196"/>
      <c r="M67" s="197"/>
    </row>
    <row r="68" spans="2:13" s="194" customFormat="1" hidden="1">
      <c r="B68" s="286"/>
      <c r="J68" s="311"/>
      <c r="K68" s="196"/>
      <c r="L68" s="196"/>
      <c r="M68" s="197"/>
    </row>
    <row r="69" spans="2:13" s="194" customFormat="1" hidden="1">
      <c r="B69" s="286"/>
      <c r="J69" s="311"/>
      <c r="K69" s="196"/>
      <c r="L69" s="196"/>
      <c r="M69" s="197"/>
    </row>
    <row r="70" spans="2:13" s="194" customFormat="1" hidden="1">
      <c r="B70" s="286"/>
      <c r="J70" s="311"/>
      <c r="K70" s="196"/>
      <c r="L70" s="196"/>
      <c r="M70" s="197"/>
    </row>
    <row r="71" spans="2:13" s="194" customFormat="1" hidden="1">
      <c r="B71" s="286"/>
      <c r="J71" s="311"/>
      <c r="K71" s="196"/>
      <c r="L71" s="196"/>
      <c r="M71" s="197"/>
    </row>
    <row r="72" spans="2:13" s="194" customFormat="1" hidden="1">
      <c r="B72" s="286"/>
      <c r="J72" s="311"/>
      <c r="K72" s="196"/>
      <c r="L72" s="196"/>
      <c r="M72" s="197"/>
    </row>
    <row r="73" spans="2:13" s="194" customFormat="1" hidden="1">
      <c r="B73" s="286"/>
      <c r="J73" s="311"/>
      <c r="K73" s="196"/>
      <c r="L73" s="196"/>
      <c r="M73" s="197"/>
    </row>
    <row r="74" spans="2:13" s="194" customFormat="1" hidden="1">
      <c r="B74" s="286"/>
      <c r="J74" s="311"/>
      <c r="K74" s="196"/>
      <c r="L74" s="196"/>
      <c r="M74" s="197"/>
    </row>
    <row r="75" spans="2:13" s="194" customFormat="1" hidden="1">
      <c r="B75" s="286"/>
      <c r="J75" s="311"/>
      <c r="K75" s="196"/>
      <c r="L75" s="196"/>
      <c r="M75" s="197"/>
    </row>
    <row r="76" spans="2:13" s="194" customFormat="1" hidden="1">
      <c r="B76" s="286"/>
      <c r="J76" s="311"/>
      <c r="K76" s="196"/>
      <c r="L76" s="196"/>
      <c r="M76" s="197"/>
    </row>
    <row r="77" spans="2:13" s="194" customFormat="1" hidden="1">
      <c r="B77" s="286"/>
      <c r="J77" s="311"/>
      <c r="K77" s="196"/>
      <c r="L77" s="196"/>
      <c r="M77" s="197"/>
    </row>
    <row r="78" spans="2:13" s="194" customFormat="1" hidden="1">
      <c r="B78" s="286"/>
      <c r="J78" s="311"/>
      <c r="K78" s="196"/>
      <c r="L78" s="196"/>
      <c r="M78" s="197"/>
    </row>
    <row r="79" spans="2:13" s="194" customFormat="1" hidden="1">
      <c r="B79" s="286"/>
      <c r="J79" s="311"/>
      <c r="K79" s="196"/>
      <c r="L79" s="196"/>
      <c r="M79" s="197"/>
    </row>
    <row r="80" spans="2:13" s="136" customFormat="1" ht="15.95" hidden="1" customHeight="1">
      <c r="B80" s="140" t="s">
        <v>120</v>
      </c>
      <c r="C80" s="148">
        <f t="shared" ref="C80:J80" si="47">10^(C121/10)*C23</f>
        <v>5.4035697420354971</v>
      </c>
      <c r="D80" s="148">
        <f t="shared" si="47"/>
        <v>5.4035697420354971</v>
      </c>
      <c r="E80" s="148">
        <f t="shared" si="47"/>
        <v>2.3158156037294986</v>
      </c>
      <c r="F80" s="148">
        <f t="shared" si="47"/>
        <v>0.18526524829835989</v>
      </c>
      <c r="G80" s="148">
        <f t="shared" si="47"/>
        <v>7.3894602414350399E-10</v>
      </c>
      <c r="H80" s="148">
        <f t="shared" si="47"/>
        <v>7.3894602414350399E-10</v>
      </c>
      <c r="I80" s="148">
        <f t="shared" si="47"/>
        <v>7.3894602414350399E-10</v>
      </c>
      <c r="J80" s="251">
        <f t="shared" si="47"/>
        <v>7.3894602414350399E-10</v>
      </c>
      <c r="K80" s="148">
        <f>SUM(C80:J80)</f>
        <v>13.308220339054639</v>
      </c>
      <c r="L80" s="163"/>
      <c r="M80" s="164"/>
    </row>
    <row r="81" spans="2:29" s="136" customFormat="1" ht="15.95" hidden="1" customHeight="1">
      <c r="B81" s="140" t="s">
        <v>121</v>
      </c>
      <c r="C81" s="148">
        <f t="shared" ref="C81:J81" si="48">10^($L23/10)*C23</f>
        <v>20.301624125421359</v>
      </c>
      <c r="D81" s="148">
        <f t="shared" si="48"/>
        <v>20.301624125421359</v>
      </c>
      <c r="E81" s="148">
        <f t="shared" si="48"/>
        <v>8.7006960537520115</v>
      </c>
      <c r="F81" s="148">
        <f t="shared" si="48"/>
        <v>0.69605568430016085</v>
      </c>
      <c r="G81" s="148">
        <f t="shared" si="48"/>
        <v>2.7762766369856924E-9</v>
      </c>
      <c r="H81" s="148">
        <f t="shared" si="48"/>
        <v>2.7762766369856924E-9</v>
      </c>
      <c r="I81" s="148">
        <f t="shared" si="48"/>
        <v>2.7762766369856924E-9</v>
      </c>
      <c r="J81" s="251">
        <f t="shared" si="48"/>
        <v>2.7762766369856924E-9</v>
      </c>
      <c r="K81" s="148">
        <f>SUM(C81:J81)</f>
        <v>49.999999999999993</v>
      </c>
      <c r="L81" s="163"/>
      <c r="M81" s="164"/>
    </row>
    <row r="82" spans="2:29" s="136" customFormat="1" ht="15.95" hidden="1" customHeight="1">
      <c r="B82" s="140" t="s">
        <v>122</v>
      </c>
      <c r="C82" s="148">
        <f t="shared" ref="C82:J82" si="49">AVERAGE(C80,C81)</f>
        <v>12.852596933728428</v>
      </c>
      <c r="D82" s="148">
        <f t="shared" si="49"/>
        <v>12.852596933728428</v>
      </c>
      <c r="E82" s="148">
        <f t="shared" si="49"/>
        <v>5.5082558287407553</v>
      </c>
      <c r="F82" s="148">
        <f t="shared" si="49"/>
        <v>0.44066046629926037</v>
      </c>
      <c r="G82" s="148">
        <f t="shared" si="49"/>
        <v>1.7576113305645981E-9</v>
      </c>
      <c r="H82" s="148">
        <f t="shared" si="49"/>
        <v>1.7576113305645981E-9</v>
      </c>
      <c r="I82" s="148">
        <f t="shared" si="49"/>
        <v>1.7576113305645981E-9</v>
      </c>
      <c r="J82" s="251">
        <f t="shared" si="49"/>
        <v>1.7576113305645981E-9</v>
      </c>
      <c r="K82" s="148">
        <f>SUM(C82:J82)</f>
        <v>31.654110169527321</v>
      </c>
      <c r="L82" s="146">
        <f>10*LOG10(O$7/K82)</f>
        <v>1.9853989478356129</v>
      </c>
      <c r="M82" s="147"/>
    </row>
    <row r="83" spans="2:29" s="136" customFormat="1" ht="15.95" hidden="1" customHeight="1">
      <c r="B83" s="140" t="s">
        <v>122</v>
      </c>
      <c r="C83" s="148">
        <f t="shared" ref="C83:J83" si="50">MIN(10^($L82/10)*C82,C23)</f>
        <v>20.301624125421359</v>
      </c>
      <c r="D83" s="148">
        <f t="shared" si="50"/>
        <v>20.301624125421359</v>
      </c>
      <c r="E83" s="148">
        <f t="shared" si="50"/>
        <v>8.7006960537520115</v>
      </c>
      <c r="F83" s="148">
        <f t="shared" si="50"/>
        <v>0.69605568430016085</v>
      </c>
      <c r="G83" s="148">
        <f t="shared" si="50"/>
        <v>2.776276636985692E-9</v>
      </c>
      <c r="H83" s="148">
        <f t="shared" si="50"/>
        <v>2.776276636985692E-9</v>
      </c>
      <c r="I83" s="148">
        <f t="shared" si="50"/>
        <v>2.776276636985692E-9</v>
      </c>
      <c r="J83" s="251">
        <f t="shared" si="50"/>
        <v>2.776276636985692E-9</v>
      </c>
      <c r="K83" s="148">
        <f>SUM(C83:J83)</f>
        <v>49.999999999999993</v>
      </c>
      <c r="L83" s="163"/>
      <c r="M83" s="164"/>
      <c r="N83" s="148">
        <f>IF(C$84&lt;1,0,C83)+IF(D$84&lt;1,0,D83)+IF(E$84&lt;1,0,E83)+IF(J$84&lt;1,0,J83)</f>
        <v>0</v>
      </c>
    </row>
    <row r="84" spans="2:29" s="136" customFormat="1" ht="15.95" hidden="1" customHeight="1">
      <c r="B84" s="140" t="s">
        <v>123</v>
      </c>
      <c r="C84" s="182">
        <f t="shared" ref="C84:J84" si="51">C83/C23</f>
        <v>0.34868458072807046</v>
      </c>
      <c r="D84" s="182">
        <f t="shared" si="51"/>
        <v>0.34868458072807046</v>
      </c>
      <c r="E84" s="182">
        <f t="shared" si="51"/>
        <v>0.34868458072807046</v>
      </c>
      <c r="F84" s="182">
        <f t="shared" si="51"/>
        <v>0.34868458072807046</v>
      </c>
      <c r="G84" s="182">
        <f t="shared" si="51"/>
        <v>0.3486845807280704</v>
      </c>
      <c r="H84" s="182">
        <f t="shared" si="51"/>
        <v>0.3486845807280704</v>
      </c>
      <c r="I84" s="182">
        <f t="shared" si="51"/>
        <v>0.3486845807280704</v>
      </c>
      <c r="J84" s="309">
        <f t="shared" si="51"/>
        <v>0.3486845807280704</v>
      </c>
      <c r="K84" s="148"/>
      <c r="L84" s="182">
        <f>IF(N84&gt;0,(N84+O84)/N84,1)</f>
        <v>1</v>
      </c>
      <c r="M84" s="187"/>
      <c r="N84" s="148">
        <f>K83-N83</f>
        <v>49.999999999999993</v>
      </c>
      <c r="O84" s="153">
        <f>MIN(K23,O7)-K83</f>
        <v>0</v>
      </c>
    </row>
    <row r="85" spans="2:29" s="136" customFormat="1" ht="17.25" hidden="1" customHeight="1" thickBot="1">
      <c r="B85" s="140"/>
      <c r="J85" s="270"/>
      <c r="K85" s="148"/>
      <c r="L85" s="163"/>
      <c r="M85" s="164"/>
      <c r="N85" s="136" t="s">
        <v>124</v>
      </c>
      <c r="O85" s="151">
        <f>O23/O86</f>
        <v>3.875</v>
      </c>
    </row>
    <row r="86" spans="2:29" s="136" customFormat="1" ht="15" hidden="1" customHeight="1">
      <c r="B86" s="135" t="s">
        <v>125</v>
      </c>
      <c r="C86" s="405" t="s">
        <v>40</v>
      </c>
      <c r="D86" s="405"/>
      <c r="E86" s="405"/>
      <c r="F86" s="405"/>
      <c r="G86" s="405"/>
      <c r="H86" s="405"/>
      <c r="I86" s="405"/>
      <c r="J86" s="409"/>
      <c r="K86" s="198" t="s">
        <v>77</v>
      </c>
      <c r="L86" s="199" t="s">
        <v>78</v>
      </c>
      <c r="M86" s="200"/>
      <c r="N86" s="136" t="s">
        <v>126</v>
      </c>
      <c r="O86" s="201">
        <f>INDEX(P86:Y86,1,MATCH(C$9,P$2:Y$2,0))</f>
        <v>4</v>
      </c>
      <c r="P86" s="294">
        <v>4</v>
      </c>
      <c r="Q86" s="294">
        <v>4</v>
      </c>
      <c r="R86" s="294">
        <v>4</v>
      </c>
      <c r="S86" s="294">
        <v>4</v>
      </c>
      <c r="T86" s="294">
        <v>4</v>
      </c>
      <c r="U86" s="294">
        <v>4</v>
      </c>
      <c r="V86" s="294">
        <v>4</v>
      </c>
      <c r="W86" s="294">
        <v>4</v>
      </c>
      <c r="X86" s="294">
        <v>4</v>
      </c>
      <c r="Y86" s="294">
        <v>4</v>
      </c>
    </row>
    <row r="87" spans="2:29" s="136" customFormat="1" ht="15.95" hidden="1" customHeight="1">
      <c r="B87" s="140" t="s">
        <v>111</v>
      </c>
      <c r="C87" s="148">
        <f t="shared" ref="C87:J87" si="52">MIN(C45*C$50^2,C33)</f>
        <v>129.93039441648136</v>
      </c>
      <c r="D87" s="148">
        <f t="shared" si="52"/>
        <v>129.93039441648136</v>
      </c>
      <c r="E87" s="148">
        <f t="shared" si="52"/>
        <v>55.684454749920583</v>
      </c>
      <c r="F87" s="148">
        <f t="shared" si="52"/>
        <v>4.4547563799936469</v>
      </c>
      <c r="G87" s="148">
        <f t="shared" si="52"/>
        <v>9.2807424583200972E-9</v>
      </c>
      <c r="H87" s="148">
        <f t="shared" si="52"/>
        <v>9.2807424583200972E-9</v>
      </c>
      <c r="I87" s="148">
        <f t="shared" si="52"/>
        <v>9.2807424583200972E-9</v>
      </c>
      <c r="J87" s="251">
        <f t="shared" si="52"/>
        <v>9.2807424583200972E-9</v>
      </c>
      <c r="K87" s="148">
        <f>SUM(C87:J87)</f>
        <v>320</v>
      </c>
      <c r="L87" s="146">
        <f>10*LOG10(O$3/K87)</f>
        <v>0</v>
      </c>
      <c r="M87" s="147"/>
      <c r="N87" s="148">
        <f>IF(C$50&lt;1,0,C87)+IF(D$50&lt;1,0,D87)+IF(E$50&lt;1,0,E87)+IF(J$50&lt;1,0,J87)</f>
        <v>315.54524359216407</v>
      </c>
    </row>
    <row r="88" spans="2:29" s="136" customFormat="1" ht="15.95" hidden="1" customHeight="1">
      <c r="B88" s="202" t="s">
        <v>94</v>
      </c>
      <c r="C88" s="148">
        <f t="shared" ref="C88:J88" si="53">MIN(C23,IF(C84&lt;1,$L84,1)*C83)</f>
        <v>20.301624125421359</v>
      </c>
      <c r="D88" s="148">
        <f t="shared" si="53"/>
        <v>20.301624125421359</v>
      </c>
      <c r="E88" s="148">
        <f t="shared" si="53"/>
        <v>8.7006960537520115</v>
      </c>
      <c r="F88" s="148">
        <f t="shared" si="53"/>
        <v>0.69605568430016085</v>
      </c>
      <c r="G88" s="148">
        <f t="shared" si="53"/>
        <v>2.776276636985692E-9</v>
      </c>
      <c r="H88" s="148">
        <f t="shared" si="53"/>
        <v>2.776276636985692E-9</v>
      </c>
      <c r="I88" s="148">
        <f t="shared" si="53"/>
        <v>2.776276636985692E-9</v>
      </c>
      <c r="J88" s="251">
        <f t="shared" si="53"/>
        <v>2.776276636985692E-9</v>
      </c>
      <c r="K88" s="148">
        <f>SUM(C88:J88)</f>
        <v>49.999999999999993</v>
      </c>
      <c r="L88" s="146">
        <f>10*LOG10(O$7/K88)</f>
        <v>9.6432746655328694E-16</v>
      </c>
      <c r="M88" s="147"/>
      <c r="N88" s="148"/>
    </row>
    <row r="89" spans="2:29" s="136" customFormat="1" ht="15.95" hidden="1" customHeight="1">
      <c r="B89" s="202" t="s">
        <v>127</v>
      </c>
      <c r="C89" s="203">
        <f t="shared" ref="C89:J89" si="54">SQRT(C88*C$26)*10^(C$94/20)</f>
        <v>9.8808745869917693</v>
      </c>
      <c r="D89" s="203">
        <f t="shared" si="54"/>
        <v>9.8808745869917693</v>
      </c>
      <c r="E89" s="203">
        <f t="shared" si="54"/>
        <v>13.203874066501669</v>
      </c>
      <c r="F89" s="203">
        <f t="shared" si="54"/>
        <v>13.203874066501669</v>
      </c>
      <c r="G89" s="203">
        <f t="shared" si="54"/>
        <v>6.6333264222013522E-3</v>
      </c>
      <c r="H89" s="203">
        <f t="shared" si="54"/>
        <v>6.6333264222013522E-3</v>
      </c>
      <c r="I89" s="203">
        <f t="shared" si="54"/>
        <v>6.6333264222013522E-3</v>
      </c>
      <c r="J89" s="312">
        <f t="shared" si="54"/>
        <v>6.6333264222013522E-3</v>
      </c>
      <c r="K89" s="205"/>
      <c r="L89" s="206"/>
      <c r="M89" s="207"/>
      <c r="N89" s="148"/>
    </row>
    <row r="90" spans="2:29" s="136" customFormat="1" ht="15.95" hidden="1" customHeight="1">
      <c r="B90" s="140" t="s">
        <v>128</v>
      </c>
      <c r="C90" s="208">
        <f t="shared" ref="C90:J90" si="55">C23*10^(C122/10)</f>
        <v>20.301624125421359</v>
      </c>
      <c r="D90" s="208">
        <f t="shared" si="55"/>
        <v>20.301624125421359</v>
      </c>
      <c r="E90" s="208">
        <f t="shared" si="55"/>
        <v>8.7006960537520115</v>
      </c>
      <c r="F90" s="208">
        <f t="shared" si="55"/>
        <v>0.69605568430016085</v>
      </c>
      <c r="G90" s="208">
        <f t="shared" si="55"/>
        <v>7.9621434110699445E-9</v>
      </c>
      <c r="H90" s="208">
        <f t="shared" si="55"/>
        <v>7.9621434110699445E-9</v>
      </c>
      <c r="I90" s="208">
        <f t="shared" si="55"/>
        <v>7.9621434110699445E-9</v>
      </c>
      <c r="J90" s="313">
        <f t="shared" si="55"/>
        <v>7.9621434110699445E-9</v>
      </c>
      <c r="K90" s="148">
        <f>SUM(C90:J90)</f>
        <v>50.000000020743464</v>
      </c>
      <c r="L90" s="146">
        <f>10*LOG10(K90/K23)</f>
        <v>-4.5756725706895764</v>
      </c>
      <c r="M90" s="147"/>
      <c r="N90" s="148"/>
    </row>
    <row r="91" spans="2:29" s="136" customFormat="1" ht="15.95" hidden="1" customHeight="1">
      <c r="B91" s="210" t="s">
        <v>129</v>
      </c>
      <c r="C91" s="154">
        <f t="shared" ref="C91:J91" si="56">C46*C$50</f>
        <v>32.240396327152226</v>
      </c>
      <c r="D91" s="154">
        <f t="shared" si="56"/>
        <v>32.240396327152226</v>
      </c>
      <c r="E91" s="154">
        <f t="shared" si="56"/>
        <v>43.083041810717354</v>
      </c>
      <c r="F91" s="154">
        <f t="shared" si="56"/>
        <v>43.083041810717354</v>
      </c>
      <c r="G91" s="154">
        <f t="shared" si="56"/>
        <v>1.3624054065013172E-2</v>
      </c>
      <c r="H91" s="154">
        <f t="shared" si="56"/>
        <v>1.3624054065013172E-2</v>
      </c>
      <c r="I91" s="154">
        <f t="shared" si="56"/>
        <v>1.3624054065013172E-2</v>
      </c>
      <c r="J91" s="256">
        <f t="shared" si="56"/>
        <v>1.3624054065013172E-2</v>
      </c>
      <c r="K91" s="205">
        <f>MAX(C91:J91)</f>
        <v>43.083041810717354</v>
      </c>
      <c r="L91" s="206">
        <f>K45-K87</f>
        <v>0</v>
      </c>
      <c r="M91" s="207"/>
      <c r="N91" s="148">
        <f>IF(C$50&lt;1,0,C22)+IF(D$50&lt;1,0,D22)+IF(E$50&lt;1,0,E22)+IF(J$50&lt;1,0,J22)</f>
        <v>3400.0000000999999</v>
      </c>
    </row>
    <row r="92" spans="2:29" s="136" customFormat="1" ht="15.95" hidden="1" customHeight="1">
      <c r="B92" s="210" t="s">
        <v>130</v>
      </c>
      <c r="C92" s="154">
        <f t="shared" ref="C92:J92" si="57">SQRT(C90*C$26)*10^(C$94/20)</f>
        <v>9.8808745869917693</v>
      </c>
      <c r="D92" s="154">
        <f t="shared" si="57"/>
        <v>9.8808745869917693</v>
      </c>
      <c r="E92" s="154">
        <f t="shared" si="57"/>
        <v>13.203874066501669</v>
      </c>
      <c r="F92" s="154">
        <f t="shared" si="57"/>
        <v>13.203874066501669</v>
      </c>
      <c r="G92" s="154">
        <f t="shared" si="57"/>
        <v>1.1233497625229582E-2</v>
      </c>
      <c r="H92" s="154">
        <f t="shared" si="57"/>
        <v>1.1233497625229582E-2</v>
      </c>
      <c r="I92" s="154">
        <f t="shared" si="57"/>
        <v>1.1233497625229582E-2</v>
      </c>
      <c r="J92" s="256">
        <f t="shared" si="57"/>
        <v>1.1233497625229582E-2</v>
      </c>
      <c r="K92" s="205"/>
      <c r="L92" s="136">
        <f>SQRT(E117*2*E24)</f>
        <v>70.106329067798811</v>
      </c>
      <c r="M92" s="211"/>
      <c r="AC92" s="148"/>
    </row>
    <row r="93" spans="2:29" s="136" customFormat="1" ht="15.95" hidden="1" customHeight="1">
      <c r="B93" s="212" t="s">
        <v>131</v>
      </c>
      <c r="C93" s="146">
        <f t="shared" ref="C93:J93" si="58">-INDEX($AC$12:$AC$16,MATCH(C$17,$AA$12:$AA$16,0),1)</f>
        <v>-16.020599913279622</v>
      </c>
      <c r="D93" s="146">
        <f t="shared" si="58"/>
        <v>-16.020599913279622</v>
      </c>
      <c r="E93" s="146">
        <f t="shared" si="58"/>
        <v>-16.020599913279622</v>
      </c>
      <c r="F93" s="146">
        <f t="shared" si="58"/>
        <v>-16.020599913279622</v>
      </c>
      <c r="G93" s="146">
        <f t="shared" si="58"/>
        <v>-12</v>
      </c>
      <c r="H93" s="146">
        <f t="shared" si="58"/>
        <v>-12</v>
      </c>
      <c r="I93" s="146">
        <f t="shared" si="58"/>
        <v>-12</v>
      </c>
      <c r="J93" s="258">
        <f t="shared" si="58"/>
        <v>-12</v>
      </c>
      <c r="K93" s="205"/>
      <c r="L93" s="136">
        <f>SQRT(E118*2*E26)</f>
        <v>83.508631976349676</v>
      </c>
      <c r="M93" s="211"/>
      <c r="AC93" s="148"/>
    </row>
    <row r="94" spans="2:29" s="136" customFormat="1" hidden="1">
      <c r="B94" s="213" t="s">
        <v>132</v>
      </c>
      <c r="C94" s="146">
        <f>C18+C93</f>
        <v>0.80000000000000071</v>
      </c>
      <c r="D94" s="146">
        <f t="shared" ref="D94:J94" si="59">D18+D93</f>
        <v>0.80000000000000071</v>
      </c>
      <c r="E94" s="146">
        <f t="shared" si="59"/>
        <v>0.80000000000000071</v>
      </c>
      <c r="F94" s="146">
        <f t="shared" si="59"/>
        <v>0.80000000000000071</v>
      </c>
      <c r="G94" s="146">
        <f t="shared" si="59"/>
        <v>2</v>
      </c>
      <c r="H94" s="146">
        <f t="shared" si="59"/>
        <v>2</v>
      </c>
      <c r="I94" s="146">
        <f t="shared" si="59"/>
        <v>2</v>
      </c>
      <c r="J94" s="258">
        <f t="shared" si="59"/>
        <v>2</v>
      </c>
      <c r="K94" s="205"/>
      <c r="M94" s="211"/>
      <c r="AC94" s="148"/>
    </row>
    <row r="95" spans="2:29" s="136" customFormat="1" ht="15.95" hidden="1" customHeight="1">
      <c r="B95" s="202" t="s">
        <v>133</v>
      </c>
      <c r="C95" s="214">
        <f t="shared" ref="C95:J95" si="60">C47*C$50</f>
        <v>10.07512385223507</v>
      </c>
      <c r="D95" s="214">
        <f t="shared" si="60"/>
        <v>10.07512385223507</v>
      </c>
      <c r="E95" s="214">
        <f t="shared" si="60"/>
        <v>2.957645890895928</v>
      </c>
      <c r="F95" s="214">
        <f t="shared" si="60"/>
        <v>0.24274415519232237</v>
      </c>
      <c r="G95" s="214">
        <f t="shared" si="60"/>
        <v>1.8164921022123639E-6</v>
      </c>
      <c r="H95" s="214">
        <f t="shared" si="60"/>
        <v>1.8164921022123639E-6</v>
      </c>
      <c r="I95" s="214">
        <f t="shared" si="60"/>
        <v>1.8164921022123639E-6</v>
      </c>
      <c r="J95" s="314">
        <f t="shared" si="60"/>
        <v>1.8164921022123639E-6</v>
      </c>
      <c r="K95" s="163"/>
      <c r="L95" s="216">
        <f>(MIN(L91,N95)+N87)/N87</f>
        <v>1</v>
      </c>
      <c r="M95" s="217"/>
      <c r="N95" s="185">
        <f>N91-N87</f>
        <v>3084.4547565078356</v>
      </c>
    </row>
    <row r="96" spans="2:29" s="136" customFormat="1" ht="18" customHeight="1">
      <c r="B96" s="140" t="str">
        <f>IF(LEN($C9)&gt;13,"Set dipswitch to","")</f>
        <v/>
      </c>
      <c r="C96" s="260" t="str">
        <f>IF(LEN($B96)&lt;1,"",IF(C14=$G2,IF(C91&lt;=$O9,"Lo-Z",IF(C91&gt;100,$G3,$G4)),C14))</f>
        <v/>
      </c>
      <c r="D96" s="260" t="str">
        <f t="shared" ref="D96:F96" si="61">IF(LEN($B96)&lt;1,"",IF(D14=$G2,IF(D91&lt;=$O9,"Lo-Z",IF(D91&gt;100,$G3,$G4)),D14))</f>
        <v/>
      </c>
      <c r="E96" s="260" t="str">
        <f t="shared" si="61"/>
        <v/>
      </c>
      <c r="F96" s="260" t="str">
        <f t="shared" si="61"/>
        <v/>
      </c>
      <c r="G96" s="218" t="str">
        <f t="shared" ref="G96:J96" si="62">IF(LEN($B96)&lt;1,"",IF(G14=$G2,IF(G91&lt;$O9,"Lo-Z",IF(G91&gt;100,$G3,$G4)),G14))</f>
        <v/>
      </c>
      <c r="H96" s="218" t="str">
        <f t="shared" si="62"/>
        <v/>
      </c>
      <c r="I96" s="218" t="str">
        <f t="shared" si="62"/>
        <v/>
      </c>
      <c r="J96" s="315" t="str">
        <f t="shared" si="62"/>
        <v/>
      </c>
      <c r="L96" s="216"/>
      <c r="M96" s="147" t="s">
        <v>207</v>
      </c>
      <c r="N96" s="185"/>
    </row>
    <row r="97" spans="2:14" s="136" customFormat="1" ht="18" hidden="1" customHeight="1">
      <c r="B97" s="140"/>
      <c r="C97" s="218"/>
      <c r="D97" s="218"/>
      <c r="E97" s="218"/>
      <c r="F97" s="218"/>
      <c r="G97" s="218"/>
      <c r="H97" s="218"/>
      <c r="I97" s="218"/>
      <c r="J97" s="315"/>
      <c r="L97" s="216"/>
      <c r="M97" s="220"/>
      <c r="N97" s="185"/>
    </row>
    <row r="98" spans="2:14" s="136" customFormat="1" ht="18" hidden="1" customHeight="1">
      <c r="B98" s="221" t="s">
        <v>135</v>
      </c>
      <c r="C98" s="218"/>
      <c r="D98" s="218"/>
      <c r="E98" s="218"/>
      <c r="F98" s="218"/>
      <c r="G98" s="218"/>
      <c r="H98" s="218"/>
      <c r="I98" s="218"/>
      <c r="J98" s="315"/>
      <c r="L98" s="216"/>
      <c r="M98" s="220"/>
      <c r="N98" s="185"/>
    </row>
    <row r="99" spans="2:14" s="136" customFormat="1" ht="18" hidden="1" customHeight="1">
      <c r="B99" s="140" t="s">
        <v>136</v>
      </c>
      <c r="C99" s="159">
        <f>C$25</f>
        <v>29.58039891549808</v>
      </c>
      <c r="D99" s="159">
        <f t="shared" ref="D99:J99" si="63">D$25</f>
        <v>29.58039891549808</v>
      </c>
      <c r="E99" s="159">
        <f t="shared" si="63"/>
        <v>9.0763353122407739</v>
      </c>
      <c r="F99" s="159">
        <f t="shared" si="63"/>
        <v>0.73545622491490359</v>
      </c>
      <c r="G99" s="159">
        <f t="shared" si="63"/>
        <v>5.1639089432829867E-6</v>
      </c>
      <c r="H99" s="159">
        <f t="shared" si="63"/>
        <v>5.1639089432829867E-6</v>
      </c>
      <c r="I99" s="159">
        <f t="shared" si="63"/>
        <v>5.1639089432829867E-6</v>
      </c>
      <c r="J99" s="159">
        <f t="shared" si="63"/>
        <v>5.1639089432829867E-6</v>
      </c>
      <c r="L99" s="216"/>
      <c r="M99" s="220"/>
      <c r="N99" s="185"/>
    </row>
    <row r="100" spans="2:14" s="136" customFormat="1" ht="18" hidden="1" customHeight="1">
      <c r="B100" s="140" t="s">
        <v>137</v>
      </c>
      <c r="C100" s="222">
        <f t="shared" ref="C100:J100" si="64">IF($C$9="X4L",C$99*0.25*2,IF($C$9="X4",C$99*0.25,0))</f>
        <v>0</v>
      </c>
      <c r="D100" s="222">
        <f t="shared" si="64"/>
        <v>0</v>
      </c>
      <c r="E100" s="222">
        <f t="shared" si="64"/>
        <v>0</v>
      </c>
      <c r="F100" s="222">
        <f t="shared" si="64"/>
        <v>0</v>
      </c>
      <c r="G100" s="222">
        <f t="shared" si="64"/>
        <v>0</v>
      </c>
      <c r="H100" s="222">
        <f t="shared" si="64"/>
        <v>0</v>
      </c>
      <c r="I100" s="222">
        <f t="shared" si="64"/>
        <v>0</v>
      </c>
      <c r="J100" s="222">
        <f t="shared" si="64"/>
        <v>0</v>
      </c>
      <c r="L100" s="216"/>
      <c r="M100" s="220"/>
      <c r="N100" s="185"/>
    </row>
    <row r="101" spans="2:14" s="136" customFormat="1" ht="18" hidden="1" customHeight="1">
      <c r="B101" s="140" t="s">
        <v>188</v>
      </c>
      <c r="C101" s="224">
        <f t="shared" ref="C101:J101" si="65">IF($C$9="X4L",300-C$100,IF($C$9="X4",175-C$100,$O$11))</f>
        <v>142</v>
      </c>
      <c r="D101" s="224">
        <f t="shared" si="65"/>
        <v>142</v>
      </c>
      <c r="E101" s="224">
        <f t="shared" si="65"/>
        <v>142</v>
      </c>
      <c r="F101" s="224">
        <f t="shared" si="65"/>
        <v>142</v>
      </c>
      <c r="G101" s="224">
        <f t="shared" si="65"/>
        <v>142</v>
      </c>
      <c r="H101" s="224">
        <f t="shared" si="65"/>
        <v>142</v>
      </c>
      <c r="I101" s="224">
        <f t="shared" si="65"/>
        <v>142</v>
      </c>
      <c r="J101" s="224">
        <f t="shared" si="65"/>
        <v>142</v>
      </c>
      <c r="L101" s="216"/>
      <c r="M101" s="220"/>
      <c r="N101" s="185"/>
    </row>
    <row r="102" spans="2:14" s="136" customFormat="1" ht="18" hidden="1" customHeight="1">
      <c r="B102" s="226" t="s">
        <v>78</v>
      </c>
      <c r="C102" s="227">
        <f t="shared" ref="C102:J102" si="66">IF(OR($C9="X4",$C9="X4L",$C9="X8"),10*LOG10(C$101/C$24),35)</f>
        <v>35</v>
      </c>
      <c r="D102" s="227">
        <f t="shared" si="66"/>
        <v>35</v>
      </c>
      <c r="E102" s="227">
        <f t="shared" si="66"/>
        <v>35</v>
      </c>
      <c r="F102" s="227">
        <f t="shared" si="66"/>
        <v>35</v>
      </c>
      <c r="G102" s="227">
        <f t="shared" si="66"/>
        <v>35</v>
      </c>
      <c r="H102" s="227">
        <f t="shared" si="66"/>
        <v>35</v>
      </c>
      <c r="I102" s="227">
        <f t="shared" si="66"/>
        <v>35</v>
      </c>
      <c r="J102" s="227">
        <f t="shared" si="66"/>
        <v>35</v>
      </c>
      <c r="L102" s="216"/>
      <c r="M102" s="220"/>
      <c r="N102" s="185"/>
    </row>
    <row r="103" spans="2:14" s="136" customFormat="1" ht="15.95" hidden="1" customHeight="1">
      <c r="B103" s="140"/>
      <c r="J103" s="270"/>
      <c r="K103" s="163"/>
      <c r="L103" s="163"/>
      <c r="M103" s="228"/>
    </row>
    <row r="104" spans="2:14" s="136" customFormat="1" ht="15.95" hidden="1" customHeight="1">
      <c r="B104" s="140" t="s">
        <v>139</v>
      </c>
      <c r="C104" s="146">
        <f t="shared" ref="C104:J104" si="67">10*LOG10(C88/C23)</f>
        <v>-4.5756725724913307</v>
      </c>
      <c r="D104" s="146">
        <f t="shared" si="67"/>
        <v>-4.5756725724913307</v>
      </c>
      <c r="E104" s="146">
        <f t="shared" si="67"/>
        <v>-4.5756725724913307</v>
      </c>
      <c r="F104" s="146">
        <f t="shared" si="67"/>
        <v>-4.5756725724913307</v>
      </c>
      <c r="G104" s="146">
        <f t="shared" si="67"/>
        <v>-4.5756725724913316</v>
      </c>
      <c r="H104" s="146">
        <f t="shared" si="67"/>
        <v>-4.5756725724913316</v>
      </c>
      <c r="I104" s="146">
        <f t="shared" si="67"/>
        <v>-4.5756725724913316</v>
      </c>
      <c r="J104" s="258">
        <f t="shared" si="67"/>
        <v>-4.5756725724913316</v>
      </c>
      <c r="K104" s="163"/>
      <c r="L104" s="146">
        <f>MIN(C104:J104)</f>
        <v>-4.5756725724913316</v>
      </c>
      <c r="M104" s="147"/>
      <c r="N104" s="136" t="s">
        <v>140</v>
      </c>
    </row>
    <row r="105" spans="2:14" s="136" customFormat="1" ht="15.95" hidden="1" customHeight="1">
      <c r="B105" s="140" t="s">
        <v>141</v>
      </c>
      <c r="C105" s="231">
        <f t="shared" ref="C105:J105" si="68">10*LOG10(2*C87/C88)</f>
        <v>11.072099696939439</v>
      </c>
      <c r="D105" s="231">
        <f t="shared" si="68"/>
        <v>11.072099696939439</v>
      </c>
      <c r="E105" s="231">
        <f t="shared" si="68"/>
        <v>11.072099696939437</v>
      </c>
      <c r="F105" s="231">
        <f t="shared" si="68"/>
        <v>11.072099696939439</v>
      </c>
      <c r="G105" s="231">
        <f t="shared" si="68"/>
        <v>8.251499783659817</v>
      </c>
      <c r="H105" s="231">
        <f t="shared" si="68"/>
        <v>8.251499783659817</v>
      </c>
      <c r="I105" s="231">
        <f t="shared" si="68"/>
        <v>8.251499783659817</v>
      </c>
      <c r="J105" s="316">
        <f t="shared" si="68"/>
        <v>8.251499783659817</v>
      </c>
      <c r="K105" s="163"/>
      <c r="L105" s="163"/>
      <c r="M105" s="164"/>
      <c r="N105" s="136" t="s">
        <v>142</v>
      </c>
    </row>
    <row r="106" spans="2:14" s="136" customFormat="1" ht="15.95" hidden="1" customHeight="1">
      <c r="B106" s="140" t="s">
        <v>143</v>
      </c>
      <c r="C106" s="231">
        <f t="shared" ref="C106:J106" si="69">C18-C105</f>
        <v>5.748500216340183</v>
      </c>
      <c r="D106" s="231">
        <f t="shared" si="69"/>
        <v>5.748500216340183</v>
      </c>
      <c r="E106" s="231">
        <f t="shared" si="69"/>
        <v>5.7485002163401848</v>
      </c>
      <c r="F106" s="231">
        <f t="shared" si="69"/>
        <v>5.748500216340183</v>
      </c>
      <c r="G106" s="231">
        <f t="shared" si="69"/>
        <v>5.748500216340183</v>
      </c>
      <c r="H106" s="231">
        <f t="shared" si="69"/>
        <v>5.748500216340183</v>
      </c>
      <c r="I106" s="231">
        <f t="shared" si="69"/>
        <v>5.748500216340183</v>
      </c>
      <c r="J106" s="316">
        <f t="shared" si="69"/>
        <v>5.748500216340183</v>
      </c>
      <c r="K106" s="163"/>
      <c r="L106" s="163"/>
      <c r="M106" s="164"/>
      <c r="N106" s="136" t="s">
        <v>144</v>
      </c>
    </row>
    <row r="107" spans="2:14" s="136" customFormat="1" ht="15.95" hidden="1" customHeight="1">
      <c r="B107" s="233" t="s">
        <v>145</v>
      </c>
      <c r="J107" s="270"/>
      <c r="K107" s="163"/>
      <c r="L107" s="163"/>
      <c r="M107" s="164"/>
      <c r="N107" s="136" t="s">
        <v>146</v>
      </c>
    </row>
    <row r="108" spans="2:14" s="136" customFormat="1" ht="15.95" hidden="1" customHeight="1">
      <c r="B108" s="234" t="s">
        <v>147</v>
      </c>
      <c r="J108" s="270"/>
      <c r="K108" s="163"/>
      <c r="L108" s="163"/>
      <c r="M108" s="164"/>
    </row>
    <row r="109" spans="2:14" s="136" customFormat="1" ht="15.95" hidden="1" customHeight="1">
      <c r="B109" s="140" t="s">
        <v>148</v>
      </c>
      <c r="C109" s="144">
        <f t="shared" ref="C109:J109" si="70">MIN(C87*1.4,$O15)</f>
        <v>181.90255218307391</v>
      </c>
      <c r="D109" s="144">
        <f t="shared" si="70"/>
        <v>181.90255218307391</v>
      </c>
      <c r="E109" s="144">
        <f t="shared" si="70"/>
        <v>77.958236649888818</v>
      </c>
      <c r="F109" s="144">
        <f t="shared" si="70"/>
        <v>6.236658931991105</v>
      </c>
      <c r="G109" s="144">
        <f t="shared" si="70"/>
        <v>1.2993039441648135E-8</v>
      </c>
      <c r="H109" s="144">
        <f t="shared" si="70"/>
        <v>1.2993039441648135E-8</v>
      </c>
      <c r="I109" s="144">
        <f t="shared" si="70"/>
        <v>1.2993039441648135E-8</v>
      </c>
      <c r="J109" s="296">
        <f t="shared" si="70"/>
        <v>1.2993039441648135E-8</v>
      </c>
      <c r="K109" s="148">
        <f>SUM(C109:J109)</f>
        <v>447.99999999999989</v>
      </c>
      <c r="L109" s="146">
        <f>-10*LOG10(K87/K109)</f>
        <v>1.4612803567823796</v>
      </c>
      <c r="M109" s="147"/>
      <c r="N109" s="136" t="s">
        <v>149</v>
      </c>
    </row>
    <row r="110" spans="2:14" s="136" customFormat="1" ht="15.95" hidden="1" customHeight="1">
      <c r="B110" s="140" t="s">
        <v>52</v>
      </c>
      <c r="C110" s="144">
        <f t="shared" ref="C110:J110" si="71">MIN(C88*2,$O13)</f>
        <v>13.96875</v>
      </c>
      <c r="D110" s="144">
        <f t="shared" si="71"/>
        <v>13.96875</v>
      </c>
      <c r="E110" s="144">
        <f t="shared" si="71"/>
        <v>13.96875</v>
      </c>
      <c r="F110" s="144">
        <f t="shared" si="71"/>
        <v>1.3921113686003217</v>
      </c>
      <c r="G110" s="144">
        <f t="shared" si="71"/>
        <v>5.552553273971384E-9</v>
      </c>
      <c r="H110" s="144">
        <f t="shared" si="71"/>
        <v>5.552553273971384E-9</v>
      </c>
      <c r="I110" s="144">
        <f t="shared" si="71"/>
        <v>5.552553273971384E-9</v>
      </c>
      <c r="J110" s="296">
        <f t="shared" si="71"/>
        <v>5.552553273971384E-9</v>
      </c>
      <c r="K110" s="148">
        <f>SUM(C110:J110)</f>
        <v>43.298361390810527</v>
      </c>
      <c r="L110" s="146"/>
      <c r="M110" s="147"/>
    </row>
    <row r="111" spans="2:14" s="136" customFormat="1" ht="15.95" hidden="1" customHeight="1">
      <c r="B111" s="140" t="s">
        <v>150</v>
      </c>
      <c r="J111" s="270"/>
      <c r="K111" s="144">
        <f>MIN(K114*1.4,O$12)</f>
        <v>90</v>
      </c>
      <c r="L111" s="163"/>
      <c r="M111" s="164"/>
      <c r="N111" s="146">
        <f>10*LOG10(K88/K110)</f>
        <v>0.6249854337283024</v>
      </c>
    </row>
    <row r="112" spans="2:14" s="136" customFormat="1" ht="15.95" hidden="1" customHeight="1">
      <c r="B112" s="140" t="s">
        <v>151</v>
      </c>
      <c r="C112" s="235">
        <f t="shared" ref="C112:J112" si="72">IF(C$14="Unused",0,C91*$O20+$O21)</f>
        <v>0.60614257527230198</v>
      </c>
      <c r="D112" s="235">
        <f t="shared" si="72"/>
        <v>0.60614257527230198</v>
      </c>
      <c r="E112" s="235">
        <f t="shared" si="72"/>
        <v>0.64441073580253183</v>
      </c>
      <c r="F112" s="235">
        <f t="shared" si="72"/>
        <v>0.64441073580253183</v>
      </c>
      <c r="G112" s="235">
        <f t="shared" si="72"/>
        <v>0</v>
      </c>
      <c r="H112" s="235">
        <f t="shared" si="72"/>
        <v>0</v>
      </c>
      <c r="I112" s="235">
        <f t="shared" si="72"/>
        <v>0</v>
      </c>
      <c r="J112" s="317">
        <f t="shared" si="72"/>
        <v>0</v>
      </c>
      <c r="K112" s="235">
        <f>K88/(K114-O23)</f>
        <v>0.61298376363989826</v>
      </c>
      <c r="L112" s="163"/>
      <c r="M112" s="164"/>
    </row>
    <row r="113" spans="2:25" s="136" customFormat="1" ht="15.95" hidden="1" customHeight="1">
      <c r="B113" s="140" t="s">
        <v>152</v>
      </c>
      <c r="C113" s="148">
        <f t="shared" ref="C113:J113" si="73">IF(C$14="Unused",0,C110/C$112+$O$85)</f>
        <v>26.920320638836024</v>
      </c>
      <c r="D113" s="148">
        <f t="shared" si="73"/>
        <v>26.920320638836024</v>
      </c>
      <c r="E113" s="148">
        <f t="shared" si="73"/>
        <v>25.551780388526105</v>
      </c>
      <c r="F113" s="148">
        <f t="shared" si="73"/>
        <v>6.0352858103638258</v>
      </c>
      <c r="G113" s="148">
        <f t="shared" si="73"/>
        <v>0</v>
      </c>
      <c r="H113" s="148">
        <f t="shared" si="73"/>
        <v>0</v>
      </c>
      <c r="I113" s="148">
        <f t="shared" si="73"/>
        <v>0</v>
      </c>
      <c r="J113" s="251">
        <f t="shared" si="73"/>
        <v>0</v>
      </c>
      <c r="K113" s="148">
        <f>SUM(C113:J113)</f>
        <v>85.427707476561977</v>
      </c>
      <c r="L113" s="146">
        <f>10*LOG10(O$12/K113)</f>
        <v>0.22643757572885517</v>
      </c>
      <c r="M113" s="147"/>
    </row>
    <row r="114" spans="2:25" s="136" customFormat="1" ht="15.95" hidden="1" customHeight="1">
      <c r="B114" s="140" t="s">
        <v>153</v>
      </c>
      <c r="C114" s="148">
        <f t="shared" ref="C114:J114" si="74">IF(C$14="Unused",0,C88/C$112+$O$85)</f>
        <v>37.368149885241287</v>
      </c>
      <c r="D114" s="148">
        <f t="shared" si="74"/>
        <v>37.368149885241287</v>
      </c>
      <c r="E114" s="148">
        <f t="shared" si="74"/>
        <v>17.376786314773913</v>
      </c>
      <c r="F114" s="148">
        <f t="shared" si="74"/>
        <v>4.9551429051819129</v>
      </c>
      <c r="G114" s="148">
        <f t="shared" si="74"/>
        <v>0</v>
      </c>
      <c r="H114" s="148">
        <f t="shared" si="74"/>
        <v>0</v>
      </c>
      <c r="I114" s="148">
        <f t="shared" si="74"/>
        <v>0</v>
      </c>
      <c r="J114" s="251">
        <f t="shared" si="74"/>
        <v>0</v>
      </c>
      <c r="K114" s="148">
        <f>SUM(C114:J114)</f>
        <v>97.068228990438399</v>
      </c>
      <c r="L114" s="146">
        <f>10*LOG10(O$12/K114)</f>
        <v>-0.32834596555494178</v>
      </c>
      <c r="M114" s="147"/>
    </row>
    <row r="115" spans="2:25" s="136" customFormat="1" ht="15.95" hidden="1" customHeight="1">
      <c r="B115" s="140" t="s">
        <v>154</v>
      </c>
      <c r="J115" s="270"/>
      <c r="K115" s="237">
        <f>K114/O24/C10</f>
        <v>0.4444515979415678</v>
      </c>
      <c r="L115" s="163"/>
      <c r="M115" s="228"/>
    </row>
    <row r="116" spans="2:25" s="136" customFormat="1" ht="18" hidden="1" customHeight="1">
      <c r="B116" s="140" t="s">
        <v>155</v>
      </c>
      <c r="J116" s="270"/>
      <c r="K116" s="237">
        <f>MIN(MIN(O26,K114)/O24/$C10,O27,$E10)</f>
        <v>0.4444515979415678</v>
      </c>
      <c r="L116" s="146">
        <f>-10*LOG10(K116/O27)</f>
        <v>10.053880418132241</v>
      </c>
      <c r="M116" s="238"/>
      <c r="N116" s="136" t="s">
        <v>156</v>
      </c>
    </row>
    <row r="117" spans="2:25" s="136" customFormat="1" ht="15.95" hidden="1" customHeight="1">
      <c r="B117" s="140" t="s">
        <v>157</v>
      </c>
      <c r="C117" s="148">
        <f t="shared" ref="C117:J117" si="75">((C114-$O85)/($K114-$O23))*($K117-$O23)+$O85</f>
        <v>37.368149885241287</v>
      </c>
      <c r="D117" s="148">
        <f t="shared" si="75"/>
        <v>37.368149885241287</v>
      </c>
      <c r="E117" s="148">
        <f t="shared" si="75"/>
        <v>17.376786314773916</v>
      </c>
      <c r="F117" s="148">
        <f t="shared" si="75"/>
        <v>4.9551429051819129</v>
      </c>
      <c r="G117" s="148">
        <f t="shared" si="75"/>
        <v>0</v>
      </c>
      <c r="H117" s="148">
        <f t="shared" si="75"/>
        <v>0</v>
      </c>
      <c r="I117" s="148">
        <f t="shared" si="75"/>
        <v>0</v>
      </c>
      <c r="J117" s="251">
        <f t="shared" si="75"/>
        <v>0</v>
      </c>
      <c r="K117" s="148">
        <f>K116*$C10*O24</f>
        <v>97.068228990438399</v>
      </c>
      <c r="L117" s="163"/>
      <c r="M117" s="238"/>
      <c r="N117" s="136" t="s">
        <v>158</v>
      </c>
    </row>
    <row r="118" spans="2:25" s="136" customFormat="1" ht="15.95" hidden="1" customHeight="1">
      <c r="B118" s="140" t="s">
        <v>159</v>
      </c>
      <c r="C118" s="148">
        <f t="shared" ref="C118:J118" si="76">C22/C23*C119</f>
        <v>488.15841301929868</v>
      </c>
      <c r="D118" s="148">
        <f t="shared" si="76"/>
        <v>488.15841301929868</v>
      </c>
      <c r="E118" s="148">
        <f t="shared" si="76"/>
        <v>209.21074843684232</v>
      </c>
      <c r="F118" s="148">
        <f t="shared" si="76"/>
        <v>16.736859874947381</v>
      </c>
      <c r="G118" s="148">
        <f t="shared" si="76"/>
        <v>0</v>
      </c>
      <c r="H118" s="148">
        <f t="shared" si="76"/>
        <v>0</v>
      </c>
      <c r="I118" s="148">
        <f t="shared" si="76"/>
        <v>0</v>
      </c>
      <c r="J118" s="251">
        <f t="shared" si="76"/>
        <v>0</v>
      </c>
      <c r="K118" s="148">
        <f>SUM($C118:J118)</f>
        <v>1202.2644343503871</v>
      </c>
      <c r="L118" s="163"/>
      <c r="M118" s="147"/>
    </row>
    <row r="119" spans="2:25" s="136" customFormat="1" ht="15.95" hidden="1" customHeight="1">
      <c r="B119" s="140" t="s">
        <v>160</v>
      </c>
      <c r="C119" s="148">
        <f t="shared" ref="C119:J119" si="77">(C117-$O85)*C112</f>
        <v>20.301624125421359</v>
      </c>
      <c r="D119" s="148">
        <f t="shared" si="77"/>
        <v>20.301624125421359</v>
      </c>
      <c r="E119" s="148">
        <f t="shared" si="77"/>
        <v>8.7006960537520133</v>
      </c>
      <c r="F119" s="148">
        <f t="shared" si="77"/>
        <v>0.69605568430016085</v>
      </c>
      <c r="G119" s="148">
        <f t="shared" si="77"/>
        <v>0</v>
      </c>
      <c r="H119" s="148">
        <f t="shared" si="77"/>
        <v>0</v>
      </c>
      <c r="I119" s="148">
        <f t="shared" si="77"/>
        <v>0</v>
      </c>
      <c r="J119" s="251">
        <f t="shared" si="77"/>
        <v>0</v>
      </c>
      <c r="K119" s="148">
        <f>SUM($C119:J119)</f>
        <v>49.999999988894892</v>
      </c>
      <c r="L119" s="163"/>
      <c r="M119" s="147"/>
      <c r="N119" s="136" t="s">
        <v>161</v>
      </c>
      <c r="P119" s="151">
        <v>500</v>
      </c>
      <c r="Q119" s="151">
        <v>1000</v>
      </c>
      <c r="R119" s="151">
        <v>2400</v>
      </c>
      <c r="S119" s="151">
        <v>1500</v>
      </c>
      <c r="T119" s="151">
        <v>800</v>
      </c>
      <c r="U119" s="151">
        <v>400</v>
      </c>
      <c r="V119" s="151">
        <v>1800</v>
      </c>
      <c r="W119" s="151">
        <v>3200</v>
      </c>
      <c r="X119" s="151">
        <v>4000</v>
      </c>
      <c r="Y119" s="151">
        <v>5200</v>
      </c>
    </row>
    <row r="120" spans="2:25" s="136" customFormat="1" ht="15.95" hidden="1" customHeight="1">
      <c r="B120" s="239" t="s">
        <v>162</v>
      </c>
      <c r="C120" s="231">
        <f>C121-C122</f>
        <v>-5.7485002163401857</v>
      </c>
      <c r="D120" s="231">
        <f t="shared" ref="D120:J120" si="78">D121-D122</f>
        <v>-5.7485002163401857</v>
      </c>
      <c r="E120" s="231">
        <f t="shared" si="78"/>
        <v>-5.7485002163401866</v>
      </c>
      <c r="F120" s="231">
        <f t="shared" si="78"/>
        <v>-5.7485002163401857</v>
      </c>
      <c r="G120" s="231">
        <f t="shared" si="78"/>
        <v>-10.324172788831516</v>
      </c>
      <c r="H120" s="231">
        <f t="shared" si="78"/>
        <v>-10.324172788831516</v>
      </c>
      <c r="I120" s="231">
        <f t="shared" si="78"/>
        <v>-10.324172788831516</v>
      </c>
      <c r="J120" s="316">
        <f t="shared" si="78"/>
        <v>-10.324172788831516</v>
      </c>
      <c r="K120" s="231">
        <f>MAX($C120:F120)</f>
        <v>-5.7485002163401857</v>
      </c>
      <c r="L120" s="163"/>
      <c r="M120" s="164"/>
      <c r="P120" s="151"/>
      <c r="Q120" s="151"/>
      <c r="R120" s="151"/>
      <c r="S120" s="151"/>
      <c r="T120" s="151"/>
      <c r="U120" s="151"/>
      <c r="V120" s="151"/>
      <c r="W120" s="151"/>
      <c r="X120" s="151"/>
      <c r="Y120" s="151"/>
    </row>
    <row r="121" spans="2:25" s="136" customFormat="1" ht="18" hidden="1" customHeight="1">
      <c r="B121" s="140" t="s">
        <v>163</v>
      </c>
      <c r="C121" s="146">
        <f t="shared" ref="C121:J121" si="79">10*LOG10(C87/C22)</f>
        <v>-10.324172788831516</v>
      </c>
      <c r="D121" s="146">
        <f t="shared" si="79"/>
        <v>-10.324172788831516</v>
      </c>
      <c r="E121" s="146">
        <f t="shared" si="79"/>
        <v>-10.324172788831516</v>
      </c>
      <c r="F121" s="146">
        <f t="shared" si="79"/>
        <v>-10.324172788831516</v>
      </c>
      <c r="G121" s="146">
        <f t="shared" si="79"/>
        <v>-10.324172788831516</v>
      </c>
      <c r="H121" s="146">
        <f t="shared" si="79"/>
        <v>-10.324172788831516</v>
      </c>
      <c r="I121" s="146">
        <f t="shared" si="79"/>
        <v>-10.324172788831516</v>
      </c>
      <c r="J121" s="258">
        <f t="shared" si="79"/>
        <v>-10.324172788831516</v>
      </c>
      <c r="K121" s="146">
        <f>MIN(C121:J121)</f>
        <v>-10.324172788831516</v>
      </c>
      <c r="L121" s="146"/>
      <c r="M121" s="164"/>
      <c r="N121" s="136" t="s">
        <v>164</v>
      </c>
    </row>
    <row r="122" spans="2:25" s="136" customFormat="1" ht="18" hidden="1" customHeight="1">
      <c r="B122" s="140" t="s">
        <v>165</v>
      </c>
      <c r="C122" s="146">
        <f t="shared" ref="C122:J122" si="80">IF(C$14="Unused",0,10*LOG10(C119/C23))</f>
        <v>-4.5756725724913307</v>
      </c>
      <c r="D122" s="146">
        <f t="shared" si="80"/>
        <v>-4.5756725724913307</v>
      </c>
      <c r="E122" s="146">
        <f t="shared" si="80"/>
        <v>-4.5756725724913299</v>
      </c>
      <c r="F122" s="146">
        <f t="shared" si="80"/>
        <v>-4.5756725724913307</v>
      </c>
      <c r="G122" s="146">
        <f t="shared" si="80"/>
        <v>0</v>
      </c>
      <c r="H122" s="146">
        <f t="shared" si="80"/>
        <v>0</v>
      </c>
      <c r="I122" s="146">
        <f t="shared" si="80"/>
        <v>0</v>
      </c>
      <c r="J122" s="258">
        <f t="shared" si="80"/>
        <v>0</v>
      </c>
      <c r="K122" s="146">
        <f t="shared" ref="K122" si="81">10*LOG10(K119/K23)</f>
        <v>-4.5756725734559085</v>
      </c>
      <c r="L122" s="163"/>
      <c r="M122" s="147"/>
      <c r="N122" s="136" t="s">
        <v>166</v>
      </c>
      <c r="R122" s="136">
        <v>1713</v>
      </c>
      <c r="S122" s="136">
        <v>760</v>
      </c>
      <c r="T122" s="136">
        <v>360</v>
      </c>
      <c r="U122" s="136">
        <v>261</v>
      </c>
    </row>
    <row r="123" spans="2:25" s="136" customFormat="1" ht="18" customHeight="1" thickBot="1">
      <c r="B123" s="166" t="s">
        <v>78</v>
      </c>
      <c r="C123" s="318">
        <f>IF(C$14="70V",MIN($K$53,C$53),IF(C$14="100V",MIN($K$54,C$54),IF(C$14="Unused","Unused",IF(C$14="Lo-Z",MIN(20*LOG10(MAX($O9,$O17)/C24),20*LOG10(1/MAX(C$41/$O11,C$42/$O10)),10*LOG10($O8/C$40),$L$22,C$102,IF(C121&lt;-0.01,C121,32),IF(C122&lt;-0.01,C122,32)),MIN(20*LOG10(1/(C$42/$O10)),10*LOG10($O8/C$40),$L$22,IF(C121&lt;-0.01,C121,32),IF(C122&lt;-0.01,C122,32))))))</f>
        <v>-10.324172788831516</v>
      </c>
      <c r="D123" s="318">
        <f t="shared" ref="D123:F123" si="82">IF(D$14="70V",MIN($K$53,D$53),IF(D$14="100V",MIN($K$54,D$54),IF(D$14="Unused","Unused",IF(D$14="Lo-Z",MIN(20*LOG10(MAX($O9,$O17)/D24),20*LOG10(1/MAX(D$41/$O11,D$42/$O10)),10*LOG10($O8/D$40),$L$22,D$102,IF(D121&lt;-0.01,D121,32),IF(D122&lt;-0.01,D122,32)),MIN(20*LOG10(1/(D$42/$O10)),10*LOG10($O8/D$40),$L$22,IF(D121&lt;-0.01,D121,32),IF(D122&lt;-0.01,D122,32))))))</f>
        <v>-10.324172788831516</v>
      </c>
      <c r="E123" s="318">
        <f t="shared" si="82"/>
        <v>-10.324172788831515</v>
      </c>
      <c r="F123" s="318">
        <f t="shared" si="82"/>
        <v>-10.324172788831515</v>
      </c>
      <c r="G123" s="318" t="str">
        <f t="shared" ref="G123" si="83">IF(G$14="Unused","Unused",IF(G$14="Lo-Z",MIN(20*LOG10(MAX($O9,$O17)/G24),20*LOG10(1/MAX(G$41/$O11,G$42/$O10)),10*LOG10($O8/G$40),$L$22,G$102,IF(G121&lt;-0.01,G121,32),IF(G122&lt;-0.01,G122,32)),MIN(20*LOG10(1/(G$42/$O10)),10*LOG10($O8/G$40),$L$22,IF(G121&lt;-0.01,G121,32),IF(G122&lt;-0.01,G122,32))))</f>
        <v>Unused</v>
      </c>
      <c r="H123" s="318" t="str">
        <f t="shared" ref="H123" si="84">IF(H$14="Unused","Unused",IF(H$14="Lo-Z",MIN(20*LOG10(MAX($O9,$O17)/H24),20*LOG10(1/MAX(H$41/$O11,H$42/$O10)),10*LOG10($O8/H$40),$L$22,H$102,IF(H121&lt;-0.01,H121,32),IF(H122&lt;-0.01,H122,32)),MIN(20*LOG10(1/(H$42/$O10)),10*LOG10($O8/H$40),$L$22,IF(H121&lt;-0.01,H121,32),IF(H122&lt;-0.01,H122,32))))</f>
        <v>Unused</v>
      </c>
      <c r="I123" s="318" t="str">
        <f t="shared" ref="I123" si="85">IF(I$14="Unused","Unused",IF(I$14="Lo-Z",MIN(20*LOG10(MAX($O9,$O17)/I24),20*LOG10(1/MAX(I$41/$O11,I$42/$O10)),10*LOG10($O8/I$40),$L$22,I$102,IF(I121&lt;-0.01,I121,32),IF(I122&lt;-0.01,I122,32)),MIN(20*LOG10(1/(I$42/$O10)),10*LOG10($O8/I$40),$L$22,IF(I121&lt;-0.01,I121,32),IF(I122&lt;-0.01,I122,32))))</f>
        <v>Unused</v>
      </c>
      <c r="J123" s="318" t="str">
        <f t="shared" ref="J123" si="86">IF(J$14="Unused","Unused",IF(J$14="Lo-Z",MIN(20*LOG10(MAX($O9,$O17)/J24),20*LOG10(1/MAX(J$41/$O11,J$42/$O10)),10*LOG10($O8/J$40),$L$22,J$102,IF(J121&lt;-0.01,J121,32),IF(J122&lt;-0.01,J122,32)),MIN(20*LOG10(1/(J$42/$O10)),10*LOG10($O8/J$40),$L$22,IF(J121&lt;-0.01,J121,32),IF(J122&lt;-0.01,J122,32))))</f>
        <v>Unused</v>
      </c>
      <c r="K123" s="163"/>
      <c r="L123" s="146">
        <f>MIN(C123:F123,L114,L116,L40,L45)</f>
        <v>-10.324172788831516</v>
      </c>
      <c r="M123" s="407" t="str">
        <f>IF(K121&gt;3,CONCATENATE("The capacity to sustain the crest factor is challenged. While individual beats ",IF(K122&gt;-0.01,"can ","may "),"reach the desired peak level, there is an obvious risk that the SPL of the beats will vary over time."),"")</f>
        <v/>
      </c>
    </row>
    <row r="124" spans="2:25" s="136" customFormat="1" ht="18" hidden="1" customHeight="1">
      <c r="B124" s="140" t="s">
        <v>167</v>
      </c>
      <c r="K124" s="240">
        <f>K117-K119</f>
        <v>47.068229001543507</v>
      </c>
      <c r="L124" s="163"/>
      <c r="M124" s="407"/>
      <c r="N124" s="136" t="s">
        <v>168</v>
      </c>
      <c r="Q124" s="151">
        <v>1425</v>
      </c>
      <c r="R124" s="151"/>
      <c r="S124" s="151">
        <v>2075</v>
      </c>
      <c r="T124" s="151"/>
      <c r="U124" s="151"/>
      <c r="V124" s="151"/>
      <c r="W124" s="151"/>
      <c r="X124" s="151"/>
      <c r="Y124" s="151"/>
    </row>
    <row r="125" spans="2:25" s="136" customFormat="1" ht="18" hidden="1" customHeight="1" thickBot="1">
      <c r="B125" s="166" t="s">
        <v>166</v>
      </c>
      <c r="C125" s="241"/>
      <c r="D125" s="241"/>
      <c r="E125" s="241"/>
      <c r="F125" s="241"/>
      <c r="G125" s="241"/>
      <c r="H125" s="241"/>
      <c r="I125" s="241"/>
      <c r="J125" s="241"/>
      <c r="K125" s="242">
        <f>3.412*K124</f>
        <v>160.59679735326645</v>
      </c>
      <c r="L125" s="243"/>
      <c r="M125" s="244"/>
      <c r="N125" s="136" t="s">
        <v>169</v>
      </c>
      <c r="Q125" s="245">
        <f>Q119/(Q124-Q40)</f>
        <v>0.70175438596491224</v>
      </c>
      <c r="R125" s="245" t="e">
        <f t="shared" ref="R125:U125" si="87">R119/(R124-R40)</f>
        <v>#DIV/0!</v>
      </c>
      <c r="S125" s="245">
        <f t="shared" si="87"/>
        <v>0.72289156626506024</v>
      </c>
      <c r="T125" s="245" t="e">
        <f t="shared" si="87"/>
        <v>#DIV/0!</v>
      </c>
      <c r="U125" s="245" t="e">
        <f t="shared" si="87"/>
        <v>#DIV/0!</v>
      </c>
      <c r="V125" s="245"/>
      <c r="W125" s="245"/>
      <c r="X125" s="245"/>
      <c r="Y125" s="245"/>
    </row>
    <row r="126" spans="2:25" s="194" customFormat="1" hidden="1">
      <c r="K126" s="196"/>
      <c r="L126" s="196"/>
      <c r="M126" s="246"/>
    </row>
    <row r="127" spans="2:25" s="194" customFormat="1" ht="15" hidden="1" customHeight="1">
      <c r="B127" s="194" t="s">
        <v>170</v>
      </c>
      <c r="K127" s="247">
        <f>K116*C10</f>
        <v>106.66838350597627</v>
      </c>
      <c r="L127" s="196"/>
      <c r="M127" s="246"/>
    </row>
    <row r="128" spans="2:25" s="194" customFormat="1" ht="15.95" hidden="1" customHeight="1" thickBot="1">
      <c r="K128" s="248">
        <f>K117/K127</f>
        <v>0.91</v>
      </c>
      <c r="L128" s="196"/>
      <c r="M128" s="246"/>
    </row>
    <row r="129" spans="2:31" s="136" customFormat="1" ht="15.95" customHeight="1">
      <c r="B129" s="135" t="s">
        <v>171</v>
      </c>
      <c r="C129" s="249"/>
      <c r="D129" s="249"/>
      <c r="E129" s="249"/>
      <c r="F129" s="250"/>
      <c r="G129" s="249"/>
      <c r="H129" s="249"/>
      <c r="I129" s="249"/>
      <c r="J129" s="250"/>
      <c r="K129" s="148"/>
      <c r="L129" s="146"/>
      <c r="M129" s="147"/>
    </row>
    <row r="130" spans="2:31" s="136" customFormat="1" ht="15.95" customHeight="1">
      <c r="B130" s="140"/>
      <c r="C130" s="148"/>
      <c r="D130" s="148"/>
      <c r="E130" s="148"/>
      <c r="F130" s="251"/>
      <c r="G130" s="148"/>
      <c r="H130" s="148"/>
      <c r="I130" s="148"/>
      <c r="J130" s="251"/>
      <c r="K130" s="148"/>
      <c r="L130" s="146"/>
      <c r="M130" s="147" t="s">
        <v>172</v>
      </c>
    </row>
    <row r="131" spans="2:31" s="136" customFormat="1" ht="15.95" customHeight="1">
      <c r="B131" s="140" t="s">
        <v>173</v>
      </c>
      <c r="C131" s="222">
        <f>IF(C$14="Lo-Z",C$24*1.05,C$24)</f>
        <v>111.12155506471281</v>
      </c>
      <c r="D131" s="222">
        <f>IF(D$14="Lo-Z",D$24*1.05,D$24)</f>
        <v>111.12155506471281</v>
      </c>
      <c r="E131" s="222">
        <f>IF(E$14="Lo-Z",E$24*1.05,E$24)</f>
        <v>141.42135623730951</v>
      </c>
      <c r="F131" s="222">
        <f>IF(F$14="Lo-Z",F$24*1.05,F$24)</f>
        <v>141.42135623730951</v>
      </c>
      <c r="G131" s="224">
        <f>IF($C14="Lo-Z",G$24*1.05,G$24)</f>
        <v>4.6957427527495585E-2</v>
      </c>
      <c r="H131" s="224">
        <f>IF($C14="Lo-Z",H$24*1.05,H$24)</f>
        <v>4.6957427527495585E-2</v>
      </c>
      <c r="I131" s="224">
        <f>IF($C14="Lo-Z",I$24*1.05,I$24)</f>
        <v>4.6957427527495585E-2</v>
      </c>
      <c r="J131" s="319">
        <f>IF($C14="Lo-Z",J$24*1.05,J$24)</f>
        <v>4.6957427527495585E-2</v>
      </c>
      <c r="K131" s="148"/>
      <c r="L131" s="146"/>
      <c r="M131" s="147"/>
    </row>
    <row r="132" spans="2:31" s="136" customFormat="1" ht="15.95" customHeight="1">
      <c r="B132" s="253"/>
      <c r="C132" s="254"/>
      <c r="D132" s="254"/>
      <c r="E132" s="254"/>
      <c r="F132" s="254"/>
      <c r="G132" s="254"/>
      <c r="H132" s="254"/>
      <c r="I132" s="254"/>
      <c r="J132" s="255"/>
      <c r="K132" s="148"/>
      <c r="L132" s="146"/>
      <c r="M132" s="147"/>
    </row>
    <row r="133" spans="2:31" s="136" customFormat="1" ht="15.95" customHeight="1">
      <c r="B133" s="140" t="s">
        <v>129</v>
      </c>
      <c r="C133" s="222">
        <f t="shared" ref="C133:J133" si="88">C$24*0.8</f>
        <v>84.664041954066903</v>
      </c>
      <c r="D133" s="222">
        <f t="shared" si="88"/>
        <v>84.664041954066903</v>
      </c>
      <c r="E133" s="222">
        <f t="shared" si="88"/>
        <v>113.13708498984761</v>
      </c>
      <c r="F133" s="222">
        <f t="shared" si="88"/>
        <v>113.13708498984761</v>
      </c>
      <c r="G133" s="224">
        <f t="shared" si="88"/>
        <v>3.5777087639996638E-2</v>
      </c>
      <c r="H133" s="224">
        <f t="shared" si="88"/>
        <v>3.5777087639996638E-2</v>
      </c>
      <c r="I133" s="224">
        <f t="shared" si="88"/>
        <v>3.5777087639996638E-2</v>
      </c>
      <c r="J133" s="319">
        <f t="shared" si="88"/>
        <v>3.5777087639996638E-2</v>
      </c>
      <c r="K133" s="154"/>
      <c r="M133" s="211" t="str">
        <f>IF(K164&lt;-0.01,"A peak limiter setting above this level may lead to undesireable artefacts in percussive sounds","")</f>
        <v/>
      </c>
      <c r="AE133" s="148">
        <f>IF(C$50&lt;1,0,C57)+IF(D$50&lt;1,0,D57)+IF(E$50&lt;1,0,E57)+IF(F$50&lt;1,0,F57)</f>
        <v>0</v>
      </c>
    </row>
    <row r="134" spans="2:31" s="136" customFormat="1" ht="15.95" customHeight="1">
      <c r="B134" s="140" t="s">
        <v>174</v>
      </c>
      <c r="C134" s="154" t="str">
        <f>VLOOKUP(C$17,$AA20:$AE24,2,FALSE)</f>
        <v>2 - 8 ms</v>
      </c>
      <c r="D134" s="154" t="str">
        <f>VLOOKUP(D$17,$AA20:$AE24,2,FALSE)</f>
        <v>2 - 8 ms</v>
      </c>
      <c r="E134" s="154" t="str">
        <f>VLOOKUP(E$17,$AA20:$AE24,2,FALSE)</f>
        <v>2 - 8 ms</v>
      </c>
      <c r="F134" s="154" t="str">
        <f>VLOOKUP(F$17,$AA20:$AE24,2,FALSE)</f>
        <v>2 - 8 ms</v>
      </c>
      <c r="G134" s="154" t="str">
        <f>VLOOKUP($C17,$AA20:$AE24,2,FALSE)</f>
        <v>2 - 8 ms</v>
      </c>
      <c r="H134" s="154" t="str">
        <f>VLOOKUP($C17,$AA20:$AE24,2,FALSE)</f>
        <v>2 - 8 ms</v>
      </c>
      <c r="I134" s="154" t="str">
        <f>VLOOKUP($C17,$AA20:$AE24,2,FALSE)</f>
        <v>2 - 8 ms</v>
      </c>
      <c r="J134" s="256" t="str">
        <f>VLOOKUP($C17,$AA20:$AE24,2,FALSE)</f>
        <v>2 - 8 ms</v>
      </c>
      <c r="K134" s="154"/>
      <c r="M134" s="211"/>
      <c r="AE134" s="148"/>
    </row>
    <row r="135" spans="2:31" s="136" customFormat="1" ht="15.95" customHeight="1">
      <c r="B135" s="140" t="s">
        <v>175</v>
      </c>
      <c r="C135" s="154" t="str">
        <f>VLOOKUP(C$17,$AA20:$AE24,3,FALSE)</f>
        <v>16 - 64 ms</v>
      </c>
      <c r="D135" s="154" t="str">
        <f>VLOOKUP(D$17,$AA20:$AE24,3,FALSE)</f>
        <v>16 - 64 ms</v>
      </c>
      <c r="E135" s="154" t="str">
        <f>VLOOKUP(E$17,$AA20:$AE24,3,FALSE)</f>
        <v>16 - 64 ms</v>
      </c>
      <c r="F135" s="154" t="str">
        <f>VLOOKUP(F$17,$AA20:$AE24,3,FALSE)</f>
        <v>16 - 64 ms</v>
      </c>
      <c r="G135" s="154" t="str">
        <f>VLOOKUP($C17,$AA20:$AE24,3,FALSE)</f>
        <v>16 - 64 ms</v>
      </c>
      <c r="H135" s="154" t="str">
        <f>VLOOKUP($C17,$AA20:$AE24,3,FALSE)</f>
        <v>16 - 64 ms</v>
      </c>
      <c r="I135" s="154" t="str">
        <f>VLOOKUP($C17,$AA20:$AE24,3,FALSE)</f>
        <v>16 - 64 ms</v>
      </c>
      <c r="J135" s="256" t="str">
        <f>VLOOKUP($C17,$AA20:$AE24,3,FALSE)</f>
        <v>16 - 64 ms</v>
      </c>
      <c r="K135" s="154"/>
      <c r="M135" s="211"/>
      <c r="AE135" s="148"/>
    </row>
    <row r="136" spans="2:31" s="136" customFormat="1" ht="15.95" customHeight="1">
      <c r="B136" s="253"/>
      <c r="C136" s="254"/>
      <c r="D136" s="254"/>
      <c r="E136" s="254"/>
      <c r="F136" s="254"/>
      <c r="G136" s="254"/>
      <c r="H136" s="254"/>
      <c r="I136" s="254"/>
      <c r="J136" s="255"/>
      <c r="K136" s="154"/>
      <c r="M136" s="211"/>
      <c r="AE136" s="148"/>
    </row>
    <row r="137" spans="2:31" s="194" customFormat="1">
      <c r="B137" s="140" t="s">
        <v>130</v>
      </c>
      <c r="C137" s="222">
        <f>SQRT(C$22/2*C$26)*VLOOKUP(C$17,$AA12:$AE16,5,FALSE)</f>
        <v>31.749015732775085</v>
      </c>
      <c r="D137" s="222">
        <f>SQRT(D$22/2*D$26)*VLOOKUP(D$17,$AA12:$AE16,5,FALSE)</f>
        <v>31.749015732775085</v>
      </c>
      <c r="E137" s="222">
        <f>SQRT(E$22/2*E$26)*VLOOKUP(E$17,$AA12:$AE16,5,FALSE)</f>
        <v>42.426406871192853</v>
      </c>
      <c r="F137" s="222">
        <f>SQRT(F$22/2*F$26)*VLOOKUP(F$17,$AA12:$AE16,5,FALSE)</f>
        <v>42.426406871192853</v>
      </c>
      <c r="G137" s="224">
        <f>SQRT(G$22/2*G$26)*VLOOKUP($C17,$AA12:$AE16,5,FALSE)</f>
        <v>1.3416407864998738E-2</v>
      </c>
      <c r="H137" s="224">
        <f>SQRT(H$22/2*H$26)*VLOOKUP($C17,$AA12:$AE16,5,FALSE)</f>
        <v>1.3416407864998738E-2</v>
      </c>
      <c r="I137" s="224">
        <f>SQRT(I$22/2*I$26)*VLOOKUP($C17,$AA12:$AE16,5,FALSE)</f>
        <v>1.3416407864998738E-2</v>
      </c>
      <c r="J137" s="319">
        <f>SQRT(J$22/2*J$26)*VLOOKUP($C17,$AA12:$AE16,5,FALSE)</f>
        <v>1.3416407864998738E-2</v>
      </c>
      <c r="K137" s="196"/>
      <c r="L137" s="196"/>
      <c r="M137" s="211" t="str">
        <f>IF(K165&lt;-0.01,"An rms limiter setting above this level may lead to undesireable pumping effects","")</f>
        <v/>
      </c>
    </row>
    <row r="138" spans="2:31" s="136" customFormat="1" ht="15.95" hidden="1" customHeight="1">
      <c r="B138" s="257" t="s">
        <v>131</v>
      </c>
      <c r="C138" s="146" t="e">
        <f t="shared" ref="C138:J138" si="89">-INDEX($AL$12:$AL$16,MATCH(C$17,$AJ$12:$AJ$16,0),1)</f>
        <v>#N/A</v>
      </c>
      <c r="D138" s="146" t="e">
        <f t="shared" si="89"/>
        <v>#N/A</v>
      </c>
      <c r="E138" s="146" t="e">
        <f t="shared" si="89"/>
        <v>#N/A</v>
      </c>
      <c r="F138" s="146" t="e">
        <f t="shared" si="89"/>
        <v>#N/A</v>
      </c>
      <c r="G138" s="146" t="e">
        <f t="shared" si="89"/>
        <v>#N/A</v>
      </c>
      <c r="H138" s="146" t="e">
        <f t="shared" si="89"/>
        <v>#N/A</v>
      </c>
      <c r="I138" s="146" t="e">
        <f t="shared" si="89"/>
        <v>#N/A</v>
      </c>
      <c r="J138" s="258" t="e">
        <f t="shared" si="89"/>
        <v>#N/A</v>
      </c>
      <c r="K138" s="205"/>
      <c r="M138" s="211"/>
      <c r="AE138" s="148"/>
    </row>
    <row r="139" spans="2:31" s="136" customFormat="1" hidden="1">
      <c r="B139" s="259" t="s">
        <v>132</v>
      </c>
      <c r="C139" s="146" t="e">
        <f>C53+C138</f>
        <v>#VALUE!</v>
      </c>
      <c r="D139" s="146" t="e">
        <f t="shared" ref="D139:F139" si="90">D53+D138</f>
        <v>#VALUE!</v>
      </c>
      <c r="E139" s="146" t="e">
        <f t="shared" si="90"/>
        <v>#VALUE!</v>
      </c>
      <c r="F139" s="146" t="e">
        <f t="shared" si="90"/>
        <v>#VALUE!</v>
      </c>
      <c r="G139" s="146" t="e">
        <f t="shared" ref="G139:J139" si="91">G53+G138</f>
        <v>#N/A</v>
      </c>
      <c r="H139" s="146" t="e">
        <f t="shared" si="91"/>
        <v>#N/A</v>
      </c>
      <c r="I139" s="146" t="e">
        <f t="shared" si="91"/>
        <v>#N/A</v>
      </c>
      <c r="J139" s="258" t="e">
        <f t="shared" si="91"/>
        <v>#N/A</v>
      </c>
      <c r="K139" s="205"/>
      <c r="M139" s="211"/>
      <c r="AE139" s="148"/>
    </row>
    <row r="140" spans="2:31" s="136" customFormat="1" ht="15.95" hidden="1" customHeight="1">
      <c r="B140" s="202" t="s">
        <v>133</v>
      </c>
      <c r="C140" s="260">
        <f t="shared" ref="C140:J140" si="92">C79*C$50</f>
        <v>0</v>
      </c>
      <c r="D140" s="260">
        <f t="shared" si="92"/>
        <v>0</v>
      </c>
      <c r="E140" s="260">
        <f t="shared" si="92"/>
        <v>0</v>
      </c>
      <c r="F140" s="260">
        <f t="shared" si="92"/>
        <v>0</v>
      </c>
      <c r="G140" s="260">
        <f t="shared" si="92"/>
        <v>0</v>
      </c>
      <c r="H140" s="260">
        <f t="shared" si="92"/>
        <v>0</v>
      </c>
      <c r="I140" s="260">
        <f t="shared" si="92"/>
        <v>0</v>
      </c>
      <c r="J140" s="261">
        <f t="shared" si="92"/>
        <v>0</v>
      </c>
      <c r="K140" s="163"/>
      <c r="L140" s="216" t="e">
        <f>(MIN(M133,AE140)+AE160)/AE160</f>
        <v>#DIV/0!</v>
      </c>
      <c r="M140" s="217"/>
      <c r="AE140" s="185">
        <f>AE133-AE160</f>
        <v>0</v>
      </c>
    </row>
    <row r="141" spans="2:31" s="136" customFormat="1" ht="15.95" customHeight="1">
      <c r="B141" s="140" t="s">
        <v>174</v>
      </c>
      <c r="C141" s="260" t="str">
        <f>VLOOKUP(C$17,$AA20:$AE24,4,FALSE)</f>
        <v>0,3 - 0,8 sec</v>
      </c>
      <c r="D141" s="260" t="str">
        <f>VLOOKUP(D$17,$AA20:$AE24,4,FALSE)</f>
        <v>0,3 - 0,8 sec</v>
      </c>
      <c r="E141" s="260" t="str">
        <f>VLOOKUP(E$17,$AA20:$AE24,4,FALSE)</f>
        <v>0,3 - 0,8 sec</v>
      </c>
      <c r="F141" s="260" t="str">
        <f>VLOOKUP(F$17,$AA20:$AE24,4,FALSE)</f>
        <v>0,3 - 0,8 sec</v>
      </c>
      <c r="G141" s="260" t="str">
        <f>VLOOKUP($C17,$AA20:$AE24,4,FALSE)</f>
        <v>0,3 - 0,8 sec</v>
      </c>
      <c r="H141" s="260" t="str">
        <f>VLOOKUP($C17,$AA20:$AE24,4,FALSE)</f>
        <v>0,3 - 0,8 sec</v>
      </c>
      <c r="I141" s="260" t="str">
        <f>VLOOKUP($C17,$AA20:$AE24,4,FALSE)</f>
        <v>0,3 - 0,8 sec</v>
      </c>
      <c r="J141" s="261" t="str">
        <f>VLOOKUP($C17,$AA20:$AE24,4,FALSE)</f>
        <v>0,3 - 0,8 sec</v>
      </c>
      <c r="K141" s="163"/>
      <c r="L141" s="216"/>
      <c r="M141" s="217"/>
      <c r="AE141" s="185"/>
    </row>
    <row r="142" spans="2:31" s="136" customFormat="1" ht="15.95" customHeight="1" thickBot="1">
      <c r="B142" s="166" t="s">
        <v>175</v>
      </c>
      <c r="C142" s="262" t="str">
        <f>VLOOKUP(C$17,$AA20:$AE24,5,FALSE)</f>
        <v>0,5 - 2 sec</v>
      </c>
      <c r="D142" s="262" t="str">
        <f>VLOOKUP(D$17,$AA20:$AE24,5,FALSE)</f>
        <v>0,5 - 2 sec</v>
      </c>
      <c r="E142" s="262" t="str">
        <f>VLOOKUP(E$17,$AA20:$AE24,5,FALSE)</f>
        <v>0,5 - 2 sec</v>
      </c>
      <c r="F142" s="262" t="str">
        <f>VLOOKUP(F$17,$AA20:$AE24,5,FALSE)</f>
        <v>0,5 - 2 sec</v>
      </c>
      <c r="G142" s="262" t="str">
        <f>VLOOKUP($C17,$AA20:$AE24,5,FALSE)</f>
        <v>0,5 - 2 sec</v>
      </c>
      <c r="H142" s="262" t="str">
        <f>VLOOKUP($C17,$AA20:$AE24,5,FALSE)</f>
        <v>0,5 - 2 sec</v>
      </c>
      <c r="I142" s="262" t="str">
        <f>VLOOKUP($C17,$AA20:$AE24,5,FALSE)</f>
        <v>0,5 - 2 sec</v>
      </c>
      <c r="J142" s="263" t="str">
        <f>VLOOKUP($C17,$AA20:$AE24,5,FALSE)</f>
        <v>0,5 - 2 sec</v>
      </c>
      <c r="K142" s="163"/>
      <c r="L142" s="216"/>
      <c r="M142" s="264"/>
      <c r="AE142" s="185"/>
    </row>
    <row r="143" spans="2:31" s="136" customFormat="1" ht="15.95" customHeight="1">
      <c r="C143" s="260"/>
      <c r="D143" s="260"/>
      <c r="E143" s="260"/>
      <c r="F143" s="260"/>
      <c r="G143" s="260"/>
      <c r="H143" s="260"/>
      <c r="I143" s="260"/>
      <c r="J143" s="260"/>
      <c r="K143" s="163"/>
      <c r="L143" s="216"/>
      <c r="M143" s="351"/>
      <c r="AE143" s="185"/>
    </row>
    <row r="144" spans="2:31" s="136" customFormat="1" ht="18" customHeight="1">
      <c r="B144" s="136" t="str">
        <f>IF(LEN($C44)&gt;5,"Set switches to","")</f>
        <v/>
      </c>
      <c r="C144" s="218" t="str">
        <f>IF(LEN($B144)&lt;1,"",IF(C49=$G37,IF(C133&lt;$O44,"Lo-Z",IF(C133&gt;100,$G38,$G39)),C49))</f>
        <v/>
      </c>
      <c r="D144" s="218" t="str">
        <f>IF(LEN($B144)&lt;1,"",IF(D49=$G37,IF(D133&lt;$O44,"Lo-Z",IF(D133&gt;100,$G38,$G39)),D49))</f>
        <v/>
      </c>
      <c r="E144" s="218" t="str">
        <f>IF(LEN($B144)&lt;1,"",IF(E49=$G37,IF(E133&lt;$O44,"Lo-Z",IF(E133&gt;100,$G38,$G39)),E49))</f>
        <v/>
      </c>
      <c r="F144" s="218" t="str">
        <f>IF(LEN($B144)&lt;1,"",IF(F49=$G37,IF(F133&lt;$O44,"Lo-Z",IF(F133&gt;100,$G38,$G39)),F49))</f>
        <v/>
      </c>
      <c r="G144" s="218"/>
      <c r="H144" s="218"/>
      <c r="I144" s="218"/>
      <c r="J144" s="218"/>
      <c r="L144" s="321"/>
      <c r="M144" s="352"/>
      <c r="AE144" s="185"/>
    </row>
    <row r="145" spans="11:12" s="194" customFormat="1">
      <c r="K145" s="196"/>
      <c r="L145" s="196"/>
    </row>
    <row r="146" spans="11:12" s="194" customFormat="1">
      <c r="K146" s="196"/>
      <c r="L146" s="196"/>
    </row>
    <row r="147" spans="11:12" s="194" customFormat="1">
      <c r="K147" s="196"/>
      <c r="L147" s="196"/>
    </row>
    <row r="148" spans="11:12" s="194" customFormat="1">
      <c r="K148" s="196"/>
      <c r="L148" s="196"/>
    </row>
    <row r="149" spans="11:12" s="194" customFormat="1">
      <c r="K149" s="196"/>
      <c r="L149" s="196"/>
    </row>
    <row r="150" spans="11:12" s="194" customFormat="1">
      <c r="K150" s="196"/>
      <c r="L150" s="196"/>
    </row>
    <row r="151" spans="11:12" s="194" customFormat="1">
      <c r="K151" s="196"/>
      <c r="L151" s="196"/>
    </row>
    <row r="152" spans="11:12" s="194" customFormat="1">
      <c r="K152" s="196"/>
      <c r="L152" s="196"/>
    </row>
    <row r="153" spans="11:12" s="194" customFormat="1">
      <c r="K153" s="196"/>
      <c r="L153" s="196"/>
    </row>
    <row r="154" spans="11:12" s="194" customFormat="1">
      <c r="K154" s="196"/>
      <c r="L154" s="196"/>
    </row>
    <row r="155" spans="11:12" s="194" customFormat="1">
      <c r="K155" s="196"/>
      <c r="L155" s="196"/>
    </row>
    <row r="156" spans="11:12" s="194" customFormat="1">
      <c r="K156" s="196"/>
      <c r="L156" s="196"/>
    </row>
    <row r="157" spans="11:12" s="194" customFormat="1">
      <c r="K157" s="196"/>
      <c r="L157" s="196"/>
    </row>
    <row r="158" spans="11:12" s="194" customFormat="1">
      <c r="K158" s="196"/>
      <c r="L158" s="196"/>
    </row>
    <row r="159" spans="11:12" s="194" customFormat="1">
      <c r="K159" s="196"/>
      <c r="L159" s="196"/>
    </row>
    <row r="160" spans="11:12" s="194" customFormat="1">
      <c r="K160" s="196"/>
      <c r="L160" s="196"/>
    </row>
    <row r="161" spans="11:12" s="194" customFormat="1">
      <c r="K161" s="196"/>
      <c r="L161" s="196"/>
    </row>
    <row r="162" spans="11:12" s="194" customFormat="1">
      <c r="K162" s="196"/>
      <c r="L162" s="196"/>
    </row>
    <row r="163" spans="11:12" s="194" customFormat="1">
      <c r="K163" s="196"/>
      <c r="L163" s="196"/>
    </row>
    <row r="164" spans="11:12" s="194" customFormat="1">
      <c r="K164" s="196"/>
      <c r="L164" s="196"/>
    </row>
    <row r="165" spans="11:12" s="194" customFormat="1">
      <c r="K165" s="196"/>
      <c r="L165" s="196"/>
    </row>
    <row r="166" spans="11:12" s="194" customFormat="1">
      <c r="K166" s="196"/>
      <c r="L166" s="196"/>
    </row>
    <row r="167" spans="11:12" s="194" customFormat="1">
      <c r="K167" s="196"/>
      <c r="L167" s="196"/>
    </row>
    <row r="168" spans="11:12" s="194" customFormat="1">
      <c r="K168" s="196"/>
      <c r="L168" s="196"/>
    </row>
  </sheetData>
  <sheetProtection algorithmName="SHA-512" hashValue="Z5KBT99ERK5x3AUsKwBCFbFDnzhS46S7eQPKEMdPkKFB7m/GQPg1tJYIK1ZN2ZOCajFK25nP4TuA9rLiFzKDTA==" saltValue="7cK+g2pQ3ARAPhSpg6uxZw==" spinCount="100000" sheet="1" objects="1" scenarios="1" selectLockedCells="1"/>
  <mergeCells count="10">
    <mergeCell ref="AB18:AC18"/>
    <mergeCell ref="AD18:AE18"/>
    <mergeCell ref="C20:J20"/>
    <mergeCell ref="C86:J86"/>
    <mergeCell ref="M123:M124"/>
    <mergeCell ref="K17:L17"/>
    <mergeCell ref="C9:D9"/>
    <mergeCell ref="C11:J11"/>
    <mergeCell ref="K11:L11"/>
    <mergeCell ref="K16:L16"/>
  </mergeCells>
  <conditionalFormatting sqref="C121 C104:J104">
    <cfRule type="iconSet" priority="9">
      <iconSet iconSet="3Symbols">
        <cfvo type="percent" val="0"/>
        <cfvo type="num" val="-2.9"/>
        <cfvo type="num" val="-2"/>
      </iconSet>
    </cfRule>
  </conditionalFormatting>
  <conditionalFormatting sqref="C122:J122">
    <cfRule type="iconSet" priority="4">
      <iconSet iconSet="3Symbols">
        <cfvo type="percent" val="0"/>
        <cfvo type="num" val="-2.9"/>
        <cfvo type="num" val="-2"/>
      </iconSet>
    </cfRule>
  </conditionalFormatting>
  <conditionalFormatting sqref="C123:J123">
    <cfRule type="iconSet" priority="2">
      <iconSet iconSet="3Symbols">
        <cfvo type="percent" val="0"/>
        <cfvo type="num" val="-2.9"/>
        <cfvo type="num" val="-2"/>
      </iconSet>
    </cfRule>
  </conditionalFormatting>
  <conditionalFormatting sqref="D121">
    <cfRule type="iconSet" priority="8">
      <iconSet iconSet="3Symbols">
        <cfvo type="percent" val="0"/>
        <cfvo type="num" val="-2.9"/>
        <cfvo type="num" val="-2"/>
      </iconSet>
    </cfRule>
  </conditionalFormatting>
  <conditionalFormatting sqref="E121:I121">
    <cfRule type="iconSet" priority="7">
      <iconSet iconSet="3Symbols">
        <cfvo type="percent" val="0"/>
        <cfvo type="num" val="-2.9"/>
        <cfvo type="num" val="-2"/>
      </iconSet>
    </cfRule>
  </conditionalFormatting>
  <conditionalFormatting sqref="J121">
    <cfRule type="iconSet" priority="6">
      <iconSet iconSet="3Symbols">
        <cfvo type="percent" val="0"/>
        <cfvo type="num" val="-2.9"/>
        <cfvo type="num" val="-2"/>
      </iconSet>
    </cfRule>
  </conditionalFormatting>
  <conditionalFormatting sqref="K121">
    <cfRule type="iconSet" priority="3">
      <iconSet iconSet="3Symbols">
        <cfvo type="percent" val="0"/>
        <cfvo type="num" val="-2.9"/>
        <cfvo type="num" val="-2"/>
      </iconSet>
    </cfRule>
  </conditionalFormatting>
  <conditionalFormatting sqref="K122">
    <cfRule type="iconSet" priority="5">
      <iconSet iconSet="3Symbols">
        <cfvo type="percent" val="0"/>
        <cfvo type="num" val="-2.9"/>
        <cfvo type="num" val="-2"/>
      </iconSet>
    </cfRule>
  </conditionalFormatting>
  <conditionalFormatting sqref="L123">
    <cfRule type="iconSet" priority="1">
      <iconSet iconSet="3Symbols">
        <cfvo type="percent" val="0"/>
        <cfvo type="num" val="-2.9"/>
        <cfvo type="num" val="-2"/>
      </iconSet>
    </cfRule>
  </conditionalFormatting>
  <dataValidations count="8">
    <dataValidation type="decimal" operator="greaterThanOrEqual" allowBlank="1" showErrorMessage="1" errorTitle="DATA ERROR" error="Final impedancevalue must be over 2 ohm" sqref="C26" xr:uid="{00000000-0002-0000-0200-000000000000}">
      <formula1>2</formula1>
    </dataValidation>
    <dataValidation type="decimal" allowBlank="1" showErrorMessage="1" errorTitle="ERROR" error="Allowed value between 2 and 128" sqref="C15:J15" xr:uid="{00000000-0002-0000-0200-000001000000}">
      <formula1>2</formula1>
      <formula2>128</formula2>
    </dataValidation>
    <dataValidation type="list" allowBlank="1" showInputMessage="1" showErrorMessage="1" sqref="G17:J17" xr:uid="{00000000-0002-0000-0200-000002000000}">
      <formula1>$AA$12:$AA$17</formula1>
    </dataValidation>
    <dataValidation type="list" allowBlank="1" showInputMessage="1" showErrorMessage="1" sqref="C10" xr:uid="{00000000-0002-0000-0200-000004000000}">
      <formula1>$AH$3:$AH$11</formula1>
    </dataValidation>
    <dataValidation type="list" allowBlank="1" showInputMessage="1" showErrorMessage="1" sqref="C14:J14" xr:uid="{00000000-0002-0000-0200-000005000000}">
      <formula1>$G$2:$G$6</formula1>
    </dataValidation>
    <dataValidation operator="greaterThanOrEqual" allowBlank="1" showErrorMessage="1" errorTitle="DATA ERROR" error="Final impedancevalue must be over 2 ohm" sqref="D26:J26" xr:uid="{00000000-0002-0000-0200-000006000000}"/>
    <dataValidation type="list" allowBlank="1" showInputMessage="1" showErrorMessage="1" sqref="C17:F17" xr:uid="{25FC17EA-7747-490E-8120-2A1AC0766F5D}">
      <formula1>$AA$12:$AA$16</formula1>
    </dataValidation>
    <dataValidation type="list" allowBlank="1" showInputMessage="1" showErrorMessage="1" sqref="C9" xr:uid="{00000000-0002-0000-0200-000003000000}">
      <formula1>$P$2:$Y$2</formula1>
    </dataValidation>
  </dataValidations>
  <pageMargins left="0.75" right="0.75" top="1" bottom="1" header="0.5" footer="0.5"/>
  <pageSetup paperSize="9" orientation="portrait" horizontalDpi="4294967292" verticalDpi="4294967292"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K149"/>
  <sheetViews>
    <sheetView showGridLines="0" showRowColHeaders="0" zoomScaleNormal="100" workbookViewId="0">
      <pane ySplit="7" topLeftCell="A8" activePane="bottomLeft" state="frozen"/>
      <selection activeCell="A7" sqref="A7"/>
      <selection pane="bottomLeft" activeCell="C9" sqref="C9:D9"/>
    </sheetView>
  </sheetViews>
  <sheetFormatPr defaultColWidth="10.625" defaultRowHeight="15.75"/>
  <cols>
    <col min="1" max="1" width="1.625" style="1" customWidth="1"/>
    <col min="2" max="2" width="61.625" style="194" bestFit="1" customWidth="1"/>
    <col min="3" max="3" width="13.125" style="1" customWidth="1"/>
    <col min="4" max="4" width="14" style="1" customWidth="1"/>
    <col min="5" max="10" width="14" style="1" hidden="1" customWidth="1"/>
    <col min="11" max="11" width="17.875" style="2" hidden="1" customWidth="1"/>
    <col min="12" max="12" width="11.875" style="2" hidden="1" customWidth="1"/>
    <col min="13" max="13" width="77.5" style="1" customWidth="1"/>
    <col min="14" max="14" width="16.5" style="1" hidden="1" customWidth="1"/>
    <col min="15" max="15" width="11.875" style="1" hidden="1" customWidth="1"/>
    <col min="16" max="19" width="17.5" style="1" hidden="1" customWidth="1"/>
    <col min="20" max="21" width="16.625" style="1" hidden="1" customWidth="1"/>
    <col min="22" max="22" width="10" style="1" hidden="1" customWidth="1"/>
    <col min="23" max="23" width="10.125" style="1" hidden="1" customWidth="1"/>
    <col min="24" max="24" width="10.625" style="1" hidden="1" customWidth="1"/>
    <col min="25" max="26" width="11.375" style="1" hidden="1" customWidth="1"/>
    <col min="27" max="27" width="14" style="1" hidden="1" customWidth="1"/>
    <col min="28" max="28" width="7.5" style="1" hidden="1" customWidth="1"/>
    <col min="29" max="29" width="10.625" style="1" hidden="1" customWidth="1"/>
    <col min="30" max="30" width="17.5" style="1" hidden="1" customWidth="1"/>
    <col min="31" max="35" width="10.625" style="1" hidden="1" customWidth="1"/>
    <col min="36" max="41" width="10.625" style="1" customWidth="1"/>
    <col min="42" max="16384" width="10.625" style="1"/>
  </cols>
  <sheetData>
    <row r="1" spans="2:36" ht="16.5" hidden="1" thickBot="1">
      <c r="K1" s="73" t="str">
        <f>IF(E10&lt;0.999*O27,"I&lt;Imax",IF(E10&gt;1.001*O27,"I&gt;Imax","I@Imax"))</f>
        <v>I&gt;Imax</v>
      </c>
      <c r="L1" s="73" t="str">
        <f>IF(L23&gt;0.01,"Pdes&lt;Pmax",IF(L23&lt;-0.01,"Pdes&gt;Pmax","Pdes@Pmax"))</f>
        <v>Pdes&lt;Pmax</v>
      </c>
      <c r="M1" s="3" t="str">
        <f>IF(L4="Pavg ok",IF(K4&gt;3,CONCATENATE("The amplifier should only need ",ROUND(K116,1),"A as an average over time. "),""),"")</f>
        <v xml:space="preserve">The amplifier should only need 0,2A as an average over time. </v>
      </c>
    </row>
    <row r="2" spans="2:36" ht="15.95" hidden="1" customHeight="1">
      <c r="C2" s="4" t="s">
        <v>14</v>
      </c>
      <c r="D2" s="5"/>
      <c r="G2" s="1" t="s">
        <v>15</v>
      </c>
      <c r="K2" s="6" t="s">
        <v>16</v>
      </c>
      <c r="L2" s="74">
        <f>MAX(K116,AVERAGE(O12/O24/C10,O26/C10))</f>
        <v>0.67271858576206389</v>
      </c>
      <c r="M2" s="7" t="str">
        <f>IF(K1="I&lt;Imax",IF(K3&lt;-0.01,IF(L1="Pdes&lt;Pmax",IF(L4="Pavg&lt;Pdes","The amplifier can deliver the desired average power if the mains current is increased. ",""),""),""),"")</f>
        <v/>
      </c>
      <c r="N2" s="8" t="s">
        <v>17</v>
      </c>
      <c r="O2" s="9" t="s">
        <v>18</v>
      </c>
      <c r="P2" s="94" t="s">
        <v>189</v>
      </c>
      <c r="Q2" s="94" t="s">
        <v>190</v>
      </c>
      <c r="R2" s="9" t="s">
        <v>191</v>
      </c>
      <c r="S2" s="9" t="s">
        <v>192</v>
      </c>
      <c r="T2" s="9" t="s">
        <v>193</v>
      </c>
      <c r="U2" s="91" t="s">
        <v>194</v>
      </c>
      <c r="AD2" s="1" t="s">
        <v>19</v>
      </c>
    </row>
    <row r="3" spans="2:36" ht="15.95" hidden="1" customHeight="1">
      <c r="C3" s="10" t="s">
        <v>20</v>
      </c>
      <c r="D3" s="11">
        <v>60</v>
      </c>
      <c r="G3" s="1" t="s">
        <v>21</v>
      </c>
      <c r="H3" s="75">
        <f>SQRT(2)*100</f>
        <v>141.42135623730951</v>
      </c>
      <c r="K3" s="17">
        <f>10*LOG10(L2/O27)</f>
        <v>-8.2537908730793692</v>
      </c>
      <c r="L3" s="12" t="s">
        <v>22</v>
      </c>
      <c r="M3" s="13" t="str">
        <f>IF(E10&lt;L2,IF(L1="Pdes&gt;Pmax",IF(K5&lt;-0.01,"It can get closer to the desired average power with a higher mains current availability. ",""),""),"")</f>
        <v/>
      </c>
      <c r="N3" s="1" t="s">
        <v>23</v>
      </c>
      <c r="O3" s="14">
        <f>INDEX(P3:U3,1,MATCH(C$9,P$2:U$2,0))</f>
        <v>600</v>
      </c>
      <c r="P3" s="87">
        <v>320</v>
      </c>
      <c r="Q3" s="86">
        <v>600</v>
      </c>
      <c r="R3" s="87">
        <v>9200</v>
      </c>
      <c r="S3" s="87">
        <v>6000</v>
      </c>
      <c r="T3" s="87">
        <v>2000</v>
      </c>
      <c r="U3" s="87">
        <v>1000</v>
      </c>
      <c r="V3" s="86"/>
      <c r="AD3" s="2">
        <v>100</v>
      </c>
    </row>
    <row r="4" spans="2:36" ht="15.95" hidden="1" customHeight="1">
      <c r="C4" s="10" t="s">
        <v>24</v>
      </c>
      <c r="D4" s="16">
        <f>25^2/D3</f>
        <v>10.416666666666666</v>
      </c>
      <c r="G4" s="1" t="s">
        <v>25</v>
      </c>
      <c r="H4" s="75">
        <v>100</v>
      </c>
      <c r="K4" s="17">
        <f>10*LOG10(E10/K116)</f>
        <v>19.187267324943345</v>
      </c>
      <c r="L4" s="73" t="str">
        <f>IF(K122&lt;-0.01,"Pavg&lt;Pdes","Pavg ok")</f>
        <v>Pavg ok</v>
      </c>
      <c r="M4" s="3" t="str">
        <f>IF(E10&gt;L2*1.01,IF(E10&lt;0.99*O27,IF(L4="Pavg&lt;Pdes",CONCATENATE("The desired total average power exceeds the capacity. It's expected to draw around ",ROUND(L2,1),"A when it reaches its total average power capacity so increasing the available current won't let it reach the desired average power. "),""),""),"")</f>
        <v/>
      </c>
      <c r="O4" s="14"/>
      <c r="P4" s="87">
        <v>80</v>
      </c>
      <c r="Q4" s="87">
        <v>150</v>
      </c>
      <c r="R4" s="87">
        <v>3200</v>
      </c>
      <c r="S4" s="87">
        <v>2400</v>
      </c>
      <c r="T4" s="87">
        <v>800</v>
      </c>
      <c r="U4" s="87">
        <v>400</v>
      </c>
      <c r="V4" s="14"/>
      <c r="AD4" s="2">
        <v>115</v>
      </c>
    </row>
    <row r="5" spans="2:36" ht="15.95" hidden="1" customHeight="1">
      <c r="C5" s="10" t="s">
        <v>26</v>
      </c>
      <c r="D5" s="16">
        <f>100^2/2/D3</f>
        <v>83.333333333333329</v>
      </c>
      <c r="G5" s="1" t="s">
        <v>27</v>
      </c>
      <c r="H5" s="75">
        <f>SQRT(2)*25</f>
        <v>35.355339059327378</v>
      </c>
      <c r="K5" s="17">
        <f>10*LOG10(E10/L2)</f>
        <v>13.76286556188518</v>
      </c>
      <c r="M5" s="13" t="str">
        <f>IF(E10&gt;O27*1.01,CONCATENATE("The amplifier is limited to ",O27,"A"),"")</f>
        <v>The amplifier is limited to 4,5A</v>
      </c>
      <c r="O5" s="14"/>
      <c r="P5" s="97">
        <f>P3/8</f>
        <v>40</v>
      </c>
      <c r="Q5" s="97">
        <f>Q3/8</f>
        <v>75</v>
      </c>
      <c r="R5" s="97">
        <f t="shared" ref="R5" si="0">R3/8</f>
        <v>1150</v>
      </c>
      <c r="S5" s="97">
        <f t="shared" ref="S5:U5" si="1">S3/8</f>
        <v>750</v>
      </c>
      <c r="T5" s="97">
        <f t="shared" si="1"/>
        <v>250</v>
      </c>
      <c r="U5" s="97">
        <f t="shared" si="1"/>
        <v>125</v>
      </c>
      <c r="V5" s="14"/>
      <c r="AD5" s="2">
        <v>120</v>
      </c>
    </row>
    <row r="6" spans="2:36" ht="17.25" hidden="1" customHeight="1" thickBot="1">
      <c r="C6" s="19" t="s">
        <v>28</v>
      </c>
      <c r="D6" s="20">
        <f>100^2/D3</f>
        <v>166.66666666666666</v>
      </c>
      <c r="G6" s="1" t="s">
        <v>29</v>
      </c>
      <c r="O6" s="14"/>
      <c r="P6" s="97">
        <f>(P12-P23)*P16</f>
        <v>55.875</v>
      </c>
      <c r="Q6" s="97">
        <f>(Q12-Q23)*Q16</f>
        <v>85.715000000000003</v>
      </c>
      <c r="R6" s="97">
        <f t="shared" ref="R6" si="2">(R12-R23)*R16</f>
        <v>828.56999999999994</v>
      </c>
      <c r="S6" s="97">
        <f t="shared" ref="S6:U6" si="3">(S12-S23)*S16</f>
        <v>875.4319999999999</v>
      </c>
      <c r="T6" s="97">
        <f t="shared" si="3"/>
        <v>522.33999999999992</v>
      </c>
      <c r="U6" s="97">
        <f t="shared" si="3"/>
        <v>309.14</v>
      </c>
      <c r="V6" s="14"/>
      <c r="AD6" s="2">
        <v>125</v>
      </c>
    </row>
    <row r="7" spans="2:36" ht="99.95" customHeight="1" thickBot="1">
      <c r="C7" s="21"/>
      <c r="D7" s="84" t="s">
        <v>206</v>
      </c>
      <c r="E7" s="85"/>
      <c r="F7" s="85"/>
      <c r="I7" s="21"/>
      <c r="J7" s="21"/>
      <c r="M7" s="76"/>
      <c r="N7" s="1" t="s">
        <v>30</v>
      </c>
      <c r="O7" s="14">
        <f t="shared" ref="O7:O13" si="4">INDEX(P7:U7,1,MATCH(C$9,P$2:U$2,0))</f>
        <v>80</v>
      </c>
      <c r="P7" s="98">
        <f>MIN(P6,ROUND(AVERAGE(P6,P6,P6,P5),-1))</f>
        <v>50</v>
      </c>
      <c r="Q7" s="98">
        <f>MIN(Q6,ROUND(AVERAGE(Q6,Q6,Q6,Q5),-1))</f>
        <v>80</v>
      </c>
      <c r="R7" s="98">
        <f t="shared" ref="R7" si="5">MIN(R6,ROUND(AVERAGE(R6,R6,R6,R5),-1))</f>
        <v>828.56999999999994</v>
      </c>
      <c r="S7" s="98">
        <f t="shared" ref="S7:U7" si="6">MIN(S6,ROUND(AVERAGE(S6,S6,S6,S5),-1))</f>
        <v>840</v>
      </c>
      <c r="T7" s="98">
        <f t="shared" si="6"/>
        <v>450</v>
      </c>
      <c r="U7" s="98">
        <f t="shared" si="6"/>
        <v>260</v>
      </c>
      <c r="V7" s="23"/>
      <c r="AD7" s="2">
        <v>173</v>
      </c>
      <c r="AJ7" s="77"/>
    </row>
    <row r="8" spans="2:36" s="27" customFormat="1" ht="24.95" customHeight="1" thickBot="1">
      <c r="B8" s="283" t="s">
        <v>31</v>
      </c>
      <c r="C8" s="25"/>
      <c r="D8" s="78"/>
      <c r="E8" s="25"/>
      <c r="F8" s="25"/>
      <c r="G8" s="25"/>
      <c r="H8" s="25"/>
      <c r="I8" s="25"/>
      <c r="J8" s="25"/>
      <c r="K8" s="26"/>
      <c r="L8" s="26"/>
      <c r="M8" s="324" t="s">
        <v>32</v>
      </c>
      <c r="N8" s="27" t="s">
        <v>33</v>
      </c>
      <c r="O8" s="28">
        <f t="shared" si="4"/>
        <v>600</v>
      </c>
      <c r="P8" s="88">
        <v>320</v>
      </c>
      <c r="Q8" s="88">
        <v>600</v>
      </c>
      <c r="R8" s="88">
        <v>6000</v>
      </c>
      <c r="S8" s="88">
        <v>4300</v>
      </c>
      <c r="T8" s="88">
        <v>1100</v>
      </c>
      <c r="U8" s="88">
        <v>800</v>
      </c>
      <c r="V8" s="28"/>
      <c r="AA8" s="27" t="s">
        <v>34</v>
      </c>
      <c r="AB8" s="31">
        <v>400</v>
      </c>
      <c r="AD8" s="32">
        <v>208</v>
      </c>
    </row>
    <row r="9" spans="2:36" s="27" customFormat="1" ht="24.95" customHeight="1">
      <c r="B9" s="233" t="s">
        <v>35</v>
      </c>
      <c r="C9" s="394" t="s">
        <v>190</v>
      </c>
      <c r="D9" s="395"/>
      <c r="K9" s="32"/>
      <c r="L9" s="32"/>
      <c r="M9" s="65"/>
      <c r="N9" s="27" t="s">
        <v>36</v>
      </c>
      <c r="O9" s="52">
        <f t="shared" si="4"/>
        <v>142</v>
      </c>
      <c r="P9" s="99">
        <v>142</v>
      </c>
      <c r="Q9" s="99">
        <v>142</v>
      </c>
      <c r="R9" s="99">
        <v>173</v>
      </c>
      <c r="S9" s="99">
        <v>144</v>
      </c>
      <c r="T9" s="99">
        <v>115</v>
      </c>
      <c r="U9" s="99">
        <v>85</v>
      </c>
      <c r="V9" s="28"/>
      <c r="W9" s="35"/>
      <c r="X9" s="35"/>
      <c r="Y9" s="35"/>
      <c r="Z9" s="35"/>
      <c r="AA9" s="27" t="s">
        <v>37</v>
      </c>
      <c r="AB9" s="31">
        <v>162</v>
      </c>
      <c r="AD9" s="32">
        <v>220</v>
      </c>
    </row>
    <row r="10" spans="2:36" s="27" customFormat="1" ht="30" customHeight="1" thickBot="1">
      <c r="B10" s="284" t="s">
        <v>38</v>
      </c>
      <c r="C10" s="356">
        <v>230</v>
      </c>
      <c r="D10" s="357">
        <v>16</v>
      </c>
      <c r="E10" s="354">
        <f>D10</f>
        <v>16</v>
      </c>
      <c r="F10" s="411" t="str">
        <f>CONCATENATE(M1,M2,M3,M4,M5)</f>
        <v>The amplifier should only need 0,2A as an average over time. The amplifier is limited to 4,5A</v>
      </c>
      <c r="G10" s="411"/>
      <c r="H10" s="411"/>
      <c r="I10" s="411"/>
      <c r="J10" s="411"/>
      <c r="K10" s="411"/>
      <c r="L10" s="411"/>
      <c r="M10" s="412"/>
      <c r="N10" s="27" t="s">
        <v>39</v>
      </c>
      <c r="O10" s="37">
        <f t="shared" si="4"/>
        <v>17.8</v>
      </c>
      <c r="P10" s="89">
        <v>17.8</v>
      </c>
      <c r="Q10" s="89">
        <v>17.8</v>
      </c>
      <c r="R10" s="89">
        <v>92</v>
      </c>
      <c r="S10" s="89">
        <v>77</v>
      </c>
      <c r="T10" s="89">
        <v>43</v>
      </c>
      <c r="U10" s="89">
        <v>24</v>
      </c>
      <c r="V10" s="38"/>
      <c r="W10" s="35"/>
      <c r="X10" s="35"/>
      <c r="Y10" s="35"/>
      <c r="Z10" s="35"/>
      <c r="AA10" s="27" t="s">
        <v>29</v>
      </c>
      <c r="AB10" s="31">
        <f>AB8-AB9</f>
        <v>238</v>
      </c>
      <c r="AD10" s="32">
        <v>230</v>
      </c>
    </row>
    <row r="11" spans="2:36" s="27" customFormat="1" ht="15" customHeight="1">
      <c r="B11" s="140"/>
      <c r="C11" s="410" t="s">
        <v>40</v>
      </c>
      <c r="D11" s="410"/>
      <c r="E11" s="323"/>
      <c r="F11" s="323"/>
      <c r="G11" s="323"/>
      <c r="H11" s="323"/>
      <c r="I11" s="323"/>
      <c r="J11" s="323"/>
      <c r="K11" s="413"/>
      <c r="L11" s="413"/>
      <c r="M11" s="353"/>
      <c r="N11" s="27" t="s">
        <v>41</v>
      </c>
      <c r="O11" s="52">
        <f t="shared" si="4"/>
        <v>142</v>
      </c>
      <c r="P11" s="90">
        <v>142</v>
      </c>
      <c r="Q11" s="90">
        <v>142</v>
      </c>
      <c r="R11" s="90">
        <v>173</v>
      </c>
      <c r="S11" s="90">
        <v>144</v>
      </c>
      <c r="T11" s="90">
        <v>142</v>
      </c>
      <c r="U11" s="90">
        <v>142</v>
      </c>
      <c r="V11" s="34"/>
      <c r="W11" s="132" t="s">
        <v>42</v>
      </c>
      <c r="X11" s="121" t="s">
        <v>43</v>
      </c>
      <c r="Y11" s="121" t="s">
        <v>44</v>
      </c>
      <c r="Z11" s="121" t="s">
        <v>45</v>
      </c>
      <c r="AA11" s="122" t="s">
        <v>46</v>
      </c>
      <c r="AB11" s="41">
        <f>-10*LOG10(AB9/AB8)</f>
        <v>3.9254497678533138</v>
      </c>
      <c r="AD11" s="32">
        <v>240</v>
      </c>
      <c r="AJ11" s="40"/>
    </row>
    <row r="12" spans="2:36" s="27" customFormat="1" ht="24.75" customHeight="1" thickBot="1">
      <c r="B12" s="233" t="s">
        <v>47</v>
      </c>
      <c r="C12" s="374">
        <v>1</v>
      </c>
      <c r="D12" s="374">
        <v>2</v>
      </c>
      <c r="E12" s="378">
        <v>3</v>
      </c>
      <c r="F12" s="378">
        <v>4</v>
      </c>
      <c r="G12" s="378">
        <v>5</v>
      </c>
      <c r="H12" s="378">
        <v>6</v>
      </c>
      <c r="I12" s="378">
        <v>7</v>
      </c>
      <c r="J12" s="378">
        <v>8</v>
      </c>
      <c r="K12" s="32"/>
      <c r="L12" s="32"/>
      <c r="M12" s="347"/>
      <c r="N12" s="27" t="s">
        <v>48</v>
      </c>
      <c r="O12" s="28">
        <f t="shared" si="4"/>
        <v>128</v>
      </c>
      <c r="P12" s="88">
        <v>90</v>
      </c>
      <c r="Q12" s="88">
        <v>128</v>
      </c>
      <c r="R12" s="88">
        <v>1200</v>
      </c>
      <c r="S12" s="88">
        <v>1100</v>
      </c>
      <c r="T12" s="88">
        <v>660</v>
      </c>
      <c r="U12" s="88">
        <v>400</v>
      </c>
      <c r="V12" s="28"/>
      <c r="W12" s="130" t="s">
        <v>49</v>
      </c>
      <c r="X12" s="43">
        <v>14</v>
      </c>
      <c r="Y12" s="44">
        <v>12</v>
      </c>
      <c r="Z12" s="45">
        <v>2</v>
      </c>
      <c r="AA12" s="123">
        <v>0.7</v>
      </c>
    </row>
    <row r="13" spans="2:36" s="27" customFormat="1" ht="24.95" customHeight="1">
      <c r="B13" s="40" t="s">
        <v>50</v>
      </c>
      <c r="C13" s="107">
        <v>40</v>
      </c>
      <c r="D13" s="107">
        <v>40</v>
      </c>
      <c r="E13" s="107">
        <v>400</v>
      </c>
      <c r="F13" s="107">
        <v>400</v>
      </c>
      <c r="G13" s="107">
        <v>100</v>
      </c>
      <c r="H13" s="107">
        <v>100</v>
      </c>
      <c r="I13" s="107">
        <v>100</v>
      </c>
      <c r="J13" s="107">
        <v>100</v>
      </c>
      <c r="K13" s="79"/>
      <c r="L13" s="79"/>
      <c r="M13" s="46" t="s">
        <v>51</v>
      </c>
      <c r="N13" s="27" t="s">
        <v>52</v>
      </c>
      <c r="O13" s="28">
        <f t="shared" si="4"/>
        <v>21.428750000000001</v>
      </c>
      <c r="P13" s="88">
        <f>P6/4</f>
        <v>13.96875</v>
      </c>
      <c r="Q13" s="88">
        <f t="shared" ref="Q13:U13" si="7">Q6/4</f>
        <v>21.428750000000001</v>
      </c>
      <c r="R13" s="88">
        <f t="shared" si="7"/>
        <v>207.14249999999998</v>
      </c>
      <c r="S13" s="88">
        <f t="shared" si="7"/>
        <v>218.85799999999998</v>
      </c>
      <c r="T13" s="88">
        <f t="shared" si="7"/>
        <v>130.58499999999998</v>
      </c>
      <c r="U13" s="88">
        <f t="shared" si="7"/>
        <v>77.284999999999997</v>
      </c>
      <c r="V13" s="28"/>
      <c r="W13" s="130" t="s">
        <v>53</v>
      </c>
      <c r="X13" s="43">
        <f t="shared" ref="X13:X16" si="8">Y13+Z13</f>
        <v>15.4</v>
      </c>
      <c r="Y13" s="44">
        <v>14</v>
      </c>
      <c r="Z13" s="45">
        <v>1.4</v>
      </c>
      <c r="AA13" s="123">
        <v>0.65</v>
      </c>
      <c r="AJ13" s="40"/>
    </row>
    <row r="14" spans="2:36" s="27" customFormat="1" ht="24.95" customHeight="1">
      <c r="B14" s="140" t="s">
        <v>54</v>
      </c>
      <c r="C14" s="108" t="s">
        <v>15</v>
      </c>
      <c r="D14" s="108" t="s">
        <v>15</v>
      </c>
      <c r="E14" s="108" t="s">
        <v>29</v>
      </c>
      <c r="F14" s="108" t="s">
        <v>29</v>
      </c>
      <c r="G14" s="108" t="s">
        <v>29</v>
      </c>
      <c r="H14" s="108" t="s">
        <v>29</v>
      </c>
      <c r="I14" s="108" t="s">
        <v>29</v>
      </c>
      <c r="J14" s="108" t="s">
        <v>29</v>
      </c>
      <c r="K14" s="79"/>
      <c r="L14" s="79"/>
      <c r="M14" s="46" t="s">
        <v>55</v>
      </c>
      <c r="N14" s="80"/>
      <c r="O14" s="28"/>
      <c r="P14" s="88"/>
      <c r="Q14" s="88"/>
      <c r="R14" s="88"/>
      <c r="S14" s="88"/>
      <c r="T14" s="88"/>
      <c r="U14" s="88"/>
      <c r="V14" s="28"/>
      <c r="W14" s="130" t="s">
        <v>56</v>
      </c>
      <c r="X14" s="43">
        <f t="shared" si="8"/>
        <v>17.2</v>
      </c>
      <c r="Y14" s="47">
        <v>16</v>
      </c>
      <c r="Z14" s="48">
        <v>1.2</v>
      </c>
      <c r="AA14" s="123">
        <v>0.6</v>
      </c>
      <c r="AJ14" s="40"/>
    </row>
    <row r="15" spans="2:36" s="27" customFormat="1" ht="24.95" customHeight="1">
      <c r="B15" s="140" t="s">
        <v>57</v>
      </c>
      <c r="C15" s="109">
        <v>8</v>
      </c>
      <c r="D15" s="109">
        <v>8</v>
      </c>
      <c r="E15" s="109">
        <v>2</v>
      </c>
      <c r="F15" s="109">
        <v>2</v>
      </c>
      <c r="G15" s="109">
        <v>4</v>
      </c>
      <c r="H15" s="109">
        <v>4</v>
      </c>
      <c r="I15" s="109">
        <v>4</v>
      </c>
      <c r="J15" s="109">
        <v>4</v>
      </c>
      <c r="K15" s="79"/>
      <c r="L15" s="79"/>
      <c r="M15" s="46" t="s">
        <v>58</v>
      </c>
      <c r="N15" s="80"/>
      <c r="O15" s="28">
        <f t="shared" ref="O15:O21" si="9">INDEX(P15:U15,1,MATCH(C$9,P$2:U$2,0))</f>
        <v>540</v>
      </c>
      <c r="P15" s="88">
        <f t="shared" ref="P15:U15" si="10">0.9*P8</f>
        <v>288</v>
      </c>
      <c r="Q15" s="88">
        <f t="shared" si="10"/>
        <v>540</v>
      </c>
      <c r="R15" s="88">
        <f t="shared" ref="R15" si="11">0.9*R8</f>
        <v>5400</v>
      </c>
      <c r="S15" s="88">
        <f t="shared" si="10"/>
        <v>3870</v>
      </c>
      <c r="T15" s="88">
        <f t="shared" si="10"/>
        <v>990</v>
      </c>
      <c r="U15" s="88">
        <f t="shared" si="10"/>
        <v>720</v>
      </c>
      <c r="V15" s="28"/>
      <c r="W15" s="130" t="s">
        <v>59</v>
      </c>
      <c r="X15" s="43">
        <f t="shared" si="8"/>
        <v>19.8</v>
      </c>
      <c r="Y15" s="44">
        <v>19</v>
      </c>
      <c r="Z15" s="45">
        <v>0.8</v>
      </c>
      <c r="AA15" s="123">
        <v>0.55000000000000004</v>
      </c>
      <c r="AJ15" s="40"/>
    </row>
    <row r="16" spans="2:36" s="27" customFormat="1" ht="24.95" customHeight="1">
      <c r="B16" s="140" t="s">
        <v>60</v>
      </c>
      <c r="C16" s="110">
        <v>2</v>
      </c>
      <c r="D16" s="110">
        <v>2</v>
      </c>
      <c r="E16" s="110">
        <v>1</v>
      </c>
      <c r="F16" s="110">
        <v>1</v>
      </c>
      <c r="G16" s="110">
        <v>1</v>
      </c>
      <c r="H16" s="110">
        <v>1</v>
      </c>
      <c r="I16" s="110">
        <v>1</v>
      </c>
      <c r="J16" s="110">
        <v>1</v>
      </c>
      <c r="K16" s="399"/>
      <c r="L16" s="399"/>
      <c r="M16" s="46" t="s">
        <v>61</v>
      </c>
      <c r="N16" s="82" t="s">
        <v>62</v>
      </c>
      <c r="O16" s="49">
        <f t="shared" si="9"/>
        <v>0.79</v>
      </c>
      <c r="P16" s="100">
        <v>0.75</v>
      </c>
      <c r="Q16" s="100">
        <v>0.79</v>
      </c>
      <c r="R16" s="100">
        <v>0.71</v>
      </c>
      <c r="S16" s="100">
        <v>0.82</v>
      </c>
      <c r="T16" s="100">
        <v>0.82</v>
      </c>
      <c r="U16" s="100">
        <v>0.82</v>
      </c>
      <c r="V16" s="49"/>
      <c r="W16" s="131" t="s">
        <v>63</v>
      </c>
      <c r="X16" s="124">
        <f t="shared" si="8"/>
        <v>16.820599913279622</v>
      </c>
      <c r="Y16" s="125">
        <f>10*LOG10(40)</f>
        <v>16.020599913279622</v>
      </c>
      <c r="Z16" s="126">
        <v>0.8</v>
      </c>
      <c r="AA16" s="127">
        <v>0.6</v>
      </c>
      <c r="AJ16" s="40"/>
    </row>
    <row r="17" spans="2:37" s="27" customFormat="1" ht="24.95" customHeight="1">
      <c r="B17" s="140" t="s">
        <v>42</v>
      </c>
      <c r="C17" s="111" t="s">
        <v>63</v>
      </c>
      <c r="D17" s="111" t="s">
        <v>63</v>
      </c>
      <c r="E17" s="111" t="s">
        <v>49</v>
      </c>
      <c r="F17" s="111" t="s">
        <v>49</v>
      </c>
      <c r="G17" s="111" t="s">
        <v>49</v>
      </c>
      <c r="H17" s="111" t="s">
        <v>49</v>
      </c>
      <c r="I17" s="111" t="s">
        <v>49</v>
      </c>
      <c r="J17" s="111" t="s">
        <v>49</v>
      </c>
      <c r="K17" s="392"/>
      <c r="L17" s="392"/>
      <c r="M17" s="46" t="s">
        <v>64</v>
      </c>
      <c r="N17" s="80" t="s">
        <v>65</v>
      </c>
      <c r="O17" s="52">
        <f t="shared" si="9"/>
        <v>98</v>
      </c>
      <c r="P17" s="90">
        <v>73</v>
      </c>
      <c r="Q17" s="90">
        <v>98</v>
      </c>
      <c r="R17" s="90">
        <v>174</v>
      </c>
      <c r="S17" s="90">
        <v>142</v>
      </c>
      <c r="T17" s="90">
        <v>142</v>
      </c>
      <c r="U17" s="90">
        <v>142</v>
      </c>
      <c r="V17" s="52"/>
      <c r="X17" s="39"/>
      <c r="AJ17" s="40"/>
    </row>
    <row r="18" spans="2:37" s="27" customFormat="1" ht="24.95" hidden="1" customHeight="1">
      <c r="B18" s="140" t="s">
        <v>66</v>
      </c>
      <c r="C18" s="363">
        <f t="shared" ref="C18:J18" si="12">INDEX($X$12:$X$17,MATCH(C$17,$W$12:$W$17,0),1)</f>
        <v>16.820599913279622</v>
      </c>
      <c r="D18" s="363">
        <f t="shared" si="12"/>
        <v>16.820599913279622</v>
      </c>
      <c r="E18" s="112">
        <f t="shared" si="12"/>
        <v>14</v>
      </c>
      <c r="F18" s="112">
        <f t="shared" si="12"/>
        <v>14</v>
      </c>
      <c r="G18" s="112">
        <f t="shared" si="12"/>
        <v>14</v>
      </c>
      <c r="H18" s="112">
        <f t="shared" si="12"/>
        <v>14</v>
      </c>
      <c r="I18" s="112">
        <f t="shared" si="12"/>
        <v>14</v>
      </c>
      <c r="J18" s="112">
        <f t="shared" si="12"/>
        <v>14</v>
      </c>
      <c r="K18" s="81"/>
      <c r="L18" s="32"/>
      <c r="M18" s="54" t="s">
        <v>67</v>
      </c>
      <c r="N18" s="82" t="s">
        <v>68</v>
      </c>
      <c r="O18" s="49">
        <f t="shared" si="9"/>
        <v>0.66</v>
      </c>
      <c r="P18" s="100">
        <v>0.63</v>
      </c>
      <c r="Q18" s="100">
        <v>0.66</v>
      </c>
      <c r="R18" s="100">
        <v>0.71</v>
      </c>
      <c r="S18" s="100">
        <v>0.49</v>
      </c>
      <c r="T18" s="100">
        <v>0.49</v>
      </c>
      <c r="U18" s="100">
        <v>0.49</v>
      </c>
      <c r="V18" s="49"/>
      <c r="W18" s="128"/>
      <c r="X18" s="401" t="s">
        <v>69</v>
      </c>
      <c r="Y18" s="402"/>
      <c r="Z18" s="401" t="s">
        <v>70</v>
      </c>
      <c r="AA18" s="402"/>
      <c r="AJ18" s="40"/>
    </row>
    <row r="19" spans="2:37" s="27" customFormat="1" ht="24.95" customHeight="1" thickBot="1">
      <c r="B19" s="166" t="s">
        <v>71</v>
      </c>
      <c r="C19" s="113">
        <v>0</v>
      </c>
      <c r="D19" s="113">
        <v>0</v>
      </c>
      <c r="E19" s="113">
        <v>0</v>
      </c>
      <c r="F19" s="113">
        <v>0</v>
      </c>
      <c r="G19" s="113">
        <v>0</v>
      </c>
      <c r="H19" s="113">
        <v>0</v>
      </c>
      <c r="I19" s="113">
        <v>0</v>
      </c>
      <c r="J19" s="113">
        <v>0</v>
      </c>
      <c r="K19" s="72"/>
      <c r="L19" s="72"/>
      <c r="M19" s="46" t="s">
        <v>72</v>
      </c>
      <c r="N19" s="83" t="s">
        <v>73</v>
      </c>
      <c r="O19" s="52">
        <f t="shared" si="9"/>
        <v>45</v>
      </c>
      <c r="P19" s="99">
        <v>39</v>
      </c>
      <c r="Q19" s="99">
        <v>45</v>
      </c>
      <c r="R19" s="99">
        <v>131</v>
      </c>
      <c r="S19" s="99">
        <v>60</v>
      </c>
      <c r="T19" s="99">
        <v>60</v>
      </c>
      <c r="U19" s="99">
        <v>60</v>
      </c>
      <c r="V19" s="34"/>
      <c r="W19" s="129" t="s">
        <v>42</v>
      </c>
      <c r="X19" s="68" t="s">
        <v>74</v>
      </c>
      <c r="Y19" s="115" t="s">
        <v>75</v>
      </c>
      <c r="Z19" s="68" t="s">
        <v>74</v>
      </c>
      <c r="AA19" s="115" t="s">
        <v>75</v>
      </c>
      <c r="AJ19" s="40"/>
    </row>
    <row r="20" spans="2:37" s="27" customFormat="1" ht="15" customHeight="1">
      <c r="B20" s="135" t="s">
        <v>76</v>
      </c>
      <c r="C20" s="403" t="s">
        <v>40</v>
      </c>
      <c r="D20" s="403"/>
      <c r="E20" s="403"/>
      <c r="F20" s="403"/>
      <c r="G20" s="403"/>
      <c r="H20" s="403"/>
      <c r="I20" s="403"/>
      <c r="J20" s="408"/>
      <c r="K20" s="377" t="s">
        <v>77</v>
      </c>
      <c r="L20" s="377" t="s">
        <v>78</v>
      </c>
      <c r="M20" s="228"/>
      <c r="N20" s="27" t="s">
        <v>79</v>
      </c>
      <c r="O20" s="27">
        <f t="shared" si="9"/>
        <v>2.4528301886792454E-3</v>
      </c>
      <c r="P20" s="91">
        <f t="shared" ref="P20:U20" si="13">(P16-P18)/(P17-P19)</f>
        <v>3.529411764705882E-3</v>
      </c>
      <c r="Q20" s="91">
        <f t="shared" si="13"/>
        <v>2.4528301886792454E-3</v>
      </c>
      <c r="R20" s="91">
        <f t="shared" ref="R20" si="14">(R16-R18)/(R17-R19)</f>
        <v>0</v>
      </c>
      <c r="S20" s="91">
        <f t="shared" si="13"/>
        <v>4.0243902439024383E-3</v>
      </c>
      <c r="T20" s="91">
        <f t="shared" si="13"/>
        <v>4.0243902439024383E-3</v>
      </c>
      <c r="U20" s="91">
        <f t="shared" si="13"/>
        <v>4.0243902439024383E-3</v>
      </c>
      <c r="V20" s="34"/>
      <c r="W20" s="130" t="s">
        <v>49</v>
      </c>
      <c r="X20" s="116" t="s">
        <v>80</v>
      </c>
      <c r="Y20" s="117" t="s">
        <v>81</v>
      </c>
      <c r="Z20" s="116" t="s">
        <v>82</v>
      </c>
      <c r="AA20" s="117" t="s">
        <v>83</v>
      </c>
    </row>
    <row r="21" spans="2:37" s="27" customFormat="1" ht="18" customHeight="1">
      <c r="B21" s="140"/>
      <c r="C21" s="375">
        <f t="shared" ref="C21:J21" si="15">C12</f>
        <v>1</v>
      </c>
      <c r="D21" s="376">
        <f t="shared" si="15"/>
        <v>2</v>
      </c>
      <c r="E21" s="375">
        <f t="shared" si="15"/>
        <v>3</v>
      </c>
      <c r="F21" s="375">
        <f t="shared" si="15"/>
        <v>4</v>
      </c>
      <c r="G21" s="375">
        <f t="shared" si="15"/>
        <v>5</v>
      </c>
      <c r="H21" s="375">
        <f t="shared" si="15"/>
        <v>6</v>
      </c>
      <c r="I21" s="375">
        <f t="shared" si="15"/>
        <v>7</v>
      </c>
      <c r="J21" s="376">
        <f t="shared" si="15"/>
        <v>8</v>
      </c>
      <c r="K21" s="375"/>
      <c r="L21" s="375"/>
      <c r="M21" s="325"/>
      <c r="N21" s="27" t="s">
        <v>84</v>
      </c>
      <c r="O21" s="56">
        <f t="shared" si="9"/>
        <v>0.54962264150943396</v>
      </c>
      <c r="P21" s="92">
        <f t="shared" ref="P21:U21" si="16">P16-P17*P20</f>
        <v>0.4923529411764706</v>
      </c>
      <c r="Q21" s="92">
        <f t="shared" si="16"/>
        <v>0.54962264150943396</v>
      </c>
      <c r="R21" s="92">
        <f t="shared" ref="R21" si="17">R16-R17*R20</f>
        <v>0.71</v>
      </c>
      <c r="S21" s="92">
        <f t="shared" si="16"/>
        <v>0.24853658536585377</v>
      </c>
      <c r="T21" s="92">
        <f t="shared" si="16"/>
        <v>0.24853658536585377</v>
      </c>
      <c r="U21" s="92">
        <f t="shared" si="16"/>
        <v>0.24853658536585377</v>
      </c>
      <c r="W21" s="130" t="s">
        <v>53</v>
      </c>
      <c r="X21" s="116" t="s">
        <v>85</v>
      </c>
      <c r="Y21" s="117" t="s">
        <v>86</v>
      </c>
      <c r="Z21" s="116" t="s">
        <v>87</v>
      </c>
      <c r="AA21" s="117" t="s">
        <v>82</v>
      </c>
    </row>
    <row r="22" spans="2:37" s="27" customFormat="1" ht="18" customHeight="1">
      <c r="B22" s="140" t="s">
        <v>88</v>
      </c>
      <c r="C22" s="144">
        <f t="shared" ref="C22:J22" si="18">IF(C14=$G6,0.0000001,C13*IF(C14=$G2,2,1)*C16*10^(C19/10))</f>
        <v>160</v>
      </c>
      <c r="D22" s="296">
        <f t="shared" si="18"/>
        <v>160</v>
      </c>
      <c r="E22" s="144">
        <f t="shared" si="18"/>
        <v>9.9999999999999995E-8</v>
      </c>
      <c r="F22" s="144">
        <f t="shared" si="18"/>
        <v>9.9999999999999995E-8</v>
      </c>
      <c r="G22" s="144">
        <f t="shared" si="18"/>
        <v>9.9999999999999995E-8</v>
      </c>
      <c r="H22" s="144">
        <f t="shared" si="18"/>
        <v>9.9999999999999995E-8</v>
      </c>
      <c r="I22" s="144">
        <f t="shared" si="18"/>
        <v>9.9999999999999995E-8</v>
      </c>
      <c r="J22" s="296">
        <f t="shared" si="18"/>
        <v>9.9999999999999995E-8</v>
      </c>
      <c r="K22" s="144">
        <f>SUM(C22:J22)</f>
        <v>320.00000060000013</v>
      </c>
      <c r="L22" s="146">
        <f>10*LOG10(O$3/K22)</f>
        <v>2.7300127124943527</v>
      </c>
      <c r="M22" s="147" t="s">
        <v>89</v>
      </c>
      <c r="P22" s="93"/>
      <c r="Q22" s="93"/>
      <c r="R22" s="91"/>
      <c r="S22" s="91"/>
      <c r="T22" s="91"/>
      <c r="U22" s="91"/>
      <c r="V22" s="56"/>
      <c r="W22" s="130" t="s">
        <v>56</v>
      </c>
      <c r="X22" s="116" t="s">
        <v>90</v>
      </c>
      <c r="Y22" s="117" t="s">
        <v>91</v>
      </c>
      <c r="Z22" s="116" t="s">
        <v>92</v>
      </c>
      <c r="AA22" s="117" t="s">
        <v>93</v>
      </c>
    </row>
    <row r="23" spans="2:37" s="27" customFormat="1" ht="18" hidden="1" customHeight="1">
      <c r="B23" s="140" t="s">
        <v>94</v>
      </c>
      <c r="C23" s="148">
        <f t="shared" ref="C23:J23" si="19">C22*2*10^(-C18/10)</f>
        <v>6.6541101688213704</v>
      </c>
      <c r="D23" s="251">
        <f t="shared" si="19"/>
        <v>6.6541101688213704</v>
      </c>
      <c r="E23" s="148">
        <f t="shared" si="19"/>
        <v>7.9621434110699445E-9</v>
      </c>
      <c r="F23" s="148">
        <f t="shared" si="19"/>
        <v>7.9621434110699445E-9</v>
      </c>
      <c r="G23" s="148">
        <f t="shared" si="19"/>
        <v>7.9621434110699445E-9</v>
      </c>
      <c r="H23" s="148">
        <f t="shared" si="19"/>
        <v>7.9621434110699445E-9</v>
      </c>
      <c r="I23" s="148">
        <f t="shared" si="19"/>
        <v>7.9621434110699445E-9</v>
      </c>
      <c r="J23" s="251">
        <f t="shared" si="19"/>
        <v>7.9621434110699445E-9</v>
      </c>
      <c r="K23" s="148">
        <f>SUM(C23:J23)</f>
        <v>13.308220385415598</v>
      </c>
      <c r="L23" s="146">
        <f>IF(K23&gt;0,10*LOG10(O$7/K23),100)</f>
        <v>7.7897000277702064</v>
      </c>
      <c r="M23" s="327" t="str">
        <f>IF(L23&lt;-0.01,CONCATENATE("The sustainable total average power is limited to ",O7," W"),"")</f>
        <v/>
      </c>
      <c r="N23" s="27" t="s">
        <v>95</v>
      </c>
      <c r="O23" s="28">
        <f>INDEX(P23:U23,1,MATCH(C$9,P$2:U$2,0))</f>
        <v>19.5</v>
      </c>
      <c r="P23" s="101">
        <v>15.5</v>
      </c>
      <c r="Q23" s="101">
        <v>19.5</v>
      </c>
      <c r="R23" s="101">
        <v>33</v>
      </c>
      <c r="S23" s="101">
        <v>32.4</v>
      </c>
      <c r="T23" s="101">
        <v>23</v>
      </c>
      <c r="U23" s="101">
        <v>23</v>
      </c>
      <c r="V23" s="29"/>
      <c r="W23" s="130" t="s">
        <v>59</v>
      </c>
      <c r="X23" s="116" t="s">
        <v>96</v>
      </c>
      <c r="Y23" s="117" t="s">
        <v>97</v>
      </c>
      <c r="Z23" s="116" t="s">
        <v>98</v>
      </c>
      <c r="AA23" s="117" t="s">
        <v>92</v>
      </c>
      <c r="AK23" s="64"/>
    </row>
    <row r="24" spans="2:37" s="27" customFormat="1" ht="18" hidden="1" customHeight="1">
      <c r="B24" s="140" t="s">
        <v>99</v>
      </c>
      <c r="C24" s="154">
        <f>SQRT(C22*2*C26)</f>
        <v>35.777087639996637</v>
      </c>
      <c r="D24" s="256">
        <f t="shared" ref="D24:J24" si="20">SQRT(D22*2*D26)</f>
        <v>35.777087639996637</v>
      </c>
      <c r="E24" s="154">
        <f t="shared" si="20"/>
        <v>4.4721359549995794E-2</v>
      </c>
      <c r="F24" s="154">
        <f t="shared" si="20"/>
        <v>4.4721359549995794E-2</v>
      </c>
      <c r="G24" s="154">
        <f t="shared" si="20"/>
        <v>4.4721359549995794E-2</v>
      </c>
      <c r="H24" s="154">
        <f t="shared" si="20"/>
        <v>4.4721359549995794E-2</v>
      </c>
      <c r="I24" s="154">
        <f t="shared" si="20"/>
        <v>4.4721359549995794E-2</v>
      </c>
      <c r="J24" s="256">
        <f t="shared" si="20"/>
        <v>4.4721359549995794E-2</v>
      </c>
      <c r="K24" s="154">
        <f>MAX(C24:J24)</f>
        <v>35.777087639996637</v>
      </c>
      <c r="L24" s="146"/>
      <c r="M24" s="326"/>
      <c r="N24" s="27" t="s">
        <v>100</v>
      </c>
      <c r="O24" s="60">
        <f>INDEX(P24:U24,1,MATCH(C$9,P$2:U$2,0))</f>
        <v>0.91</v>
      </c>
      <c r="P24" s="30">
        <v>0.91</v>
      </c>
      <c r="Q24" s="30">
        <v>0.91</v>
      </c>
      <c r="R24" s="30">
        <v>0.85</v>
      </c>
      <c r="S24" s="30">
        <v>0.82</v>
      </c>
      <c r="T24" s="30">
        <v>0.82</v>
      </c>
      <c r="U24" s="30">
        <v>0.82</v>
      </c>
      <c r="V24" s="29"/>
      <c r="W24" s="131" t="s">
        <v>63</v>
      </c>
      <c r="X24" s="118" t="s">
        <v>90</v>
      </c>
      <c r="Y24" s="119" t="s">
        <v>91</v>
      </c>
      <c r="Z24" s="118" t="s">
        <v>92</v>
      </c>
      <c r="AA24" s="119" t="s">
        <v>93</v>
      </c>
    </row>
    <row r="25" spans="2:37" s="27" customFormat="1" ht="18" hidden="1" customHeight="1">
      <c r="B25" s="140" t="s">
        <v>101</v>
      </c>
      <c r="C25" s="159">
        <f t="shared" ref="C25:F25" si="21">SQRT(C22*2/C27)</f>
        <v>10</v>
      </c>
      <c r="D25" s="301">
        <f t="shared" si="21"/>
        <v>10</v>
      </c>
      <c r="E25" s="159">
        <f t="shared" si="21"/>
        <v>5.1639089432829867E-6</v>
      </c>
      <c r="F25" s="159">
        <f t="shared" si="21"/>
        <v>5.1639089432829867E-6</v>
      </c>
      <c r="G25" s="159">
        <f>SQRT(G22*2/G27)</f>
        <v>5.1639089432829867E-6</v>
      </c>
      <c r="H25" s="159">
        <f t="shared" ref="H25:J25" si="22">SQRT(H22*2/H27)</f>
        <v>5.1639089432829867E-6</v>
      </c>
      <c r="I25" s="159">
        <f t="shared" si="22"/>
        <v>5.1639089432829867E-6</v>
      </c>
      <c r="J25" s="301">
        <f t="shared" si="22"/>
        <v>5.1639089432829867E-6</v>
      </c>
      <c r="K25" s="154"/>
      <c r="L25" s="146"/>
      <c r="M25" s="326"/>
      <c r="O25" s="60"/>
      <c r="V25" s="29"/>
    </row>
    <row r="26" spans="2:37" s="27" customFormat="1" ht="18" customHeight="1">
      <c r="B26" s="140" t="s">
        <v>102</v>
      </c>
      <c r="C26" s="161">
        <f>IF(IF(C14=$G2,C15/C16,IF(C14=$G6,10000,INDEX($H2:$H6,MATCH(C14,$G2:$G6,0),1)^2/2/C22))&gt;=1.55,IF(C14=$G2,C15/C16,IF(C14=$G6,10000,INDEX($H2:$H6,MATCH(C14,$G2:$G6,0),1)^2/2/C22)),NA())</f>
        <v>4</v>
      </c>
      <c r="D26" s="302">
        <f>IF(IF(D14=$G2,D15/D16,IF(D14=$G6,10000,INDEX($H2:$H6,MATCH(D14,$G2:$G6,0),1)^2/2/D22))&gt;=1.55,IF(D14=$G2,D15/D16,IF(D14=$G6,10000,INDEX($H2:$H6,MATCH(D14,$G2:$G6,0),1)^2/2/D22)),NA())</f>
        <v>4</v>
      </c>
      <c r="E26" s="161">
        <f t="shared" ref="E26:J26" si="23">IF(IF(E14=$G2,E15/E16,IF(E14=$G6,10000,INDEX($H2:$H6,MATCH(E14,$G2:$G6,0),1)^2/2/E22))&gt;=2,IF(E14=$G2,E15/E16,IF(E14=$G6,10000,INDEX($H2:$H6,MATCH(E14,$G2:$G6,0),1)^2/2/E22)),NA())</f>
        <v>10000</v>
      </c>
      <c r="F26" s="161">
        <f t="shared" si="23"/>
        <v>10000</v>
      </c>
      <c r="G26" s="161">
        <f t="shared" si="23"/>
        <v>10000</v>
      </c>
      <c r="H26" s="161">
        <f t="shared" si="23"/>
        <v>10000</v>
      </c>
      <c r="I26" s="161">
        <f t="shared" si="23"/>
        <v>10000</v>
      </c>
      <c r="J26" s="302">
        <f t="shared" si="23"/>
        <v>10000</v>
      </c>
      <c r="K26" s="163"/>
      <c r="L26" s="163"/>
      <c r="M26" s="220" t="s">
        <v>103</v>
      </c>
      <c r="N26" s="27" t="s">
        <v>104</v>
      </c>
      <c r="O26" s="57">
        <f>INDEX(P26:U26,1,MATCH(C$9,P$2:U$2,0))</f>
        <v>168.79120879120876</v>
      </c>
      <c r="P26" s="102">
        <f t="shared" ref="P26:U26" si="24">P12/P24*1.2</f>
        <v>118.68131868131866</v>
      </c>
      <c r="Q26" s="102">
        <f t="shared" si="24"/>
        <v>168.79120879120876</v>
      </c>
      <c r="R26" s="102">
        <f t="shared" ref="R26" si="25">R12/R24*1.2</f>
        <v>1694.1176470588234</v>
      </c>
      <c r="S26" s="102">
        <f t="shared" si="24"/>
        <v>1609.7560975609756</v>
      </c>
      <c r="T26" s="102">
        <f t="shared" si="24"/>
        <v>965.85365853658527</v>
      </c>
      <c r="U26" s="102">
        <f t="shared" si="24"/>
        <v>585.36585365853659</v>
      </c>
      <c r="V26" s="57"/>
    </row>
    <row r="27" spans="2:37" s="27" customFormat="1" ht="18" hidden="1" customHeight="1" thickBot="1">
      <c r="B27" s="166" t="s">
        <v>105</v>
      </c>
      <c r="C27" s="167">
        <f t="shared" ref="C27:J27" si="26">IF(RIGHT(C14,1)="V",C26*0.85+0.4,C26*0.75+0.2)</f>
        <v>3.2</v>
      </c>
      <c r="D27" s="304">
        <f t="shared" si="26"/>
        <v>3.2</v>
      </c>
      <c r="E27" s="167">
        <f t="shared" si="26"/>
        <v>7500.2</v>
      </c>
      <c r="F27" s="167">
        <f t="shared" si="26"/>
        <v>7500.2</v>
      </c>
      <c r="G27" s="167">
        <f t="shared" si="26"/>
        <v>7500.2</v>
      </c>
      <c r="H27" s="167">
        <f t="shared" si="26"/>
        <v>7500.2</v>
      </c>
      <c r="I27" s="167">
        <f t="shared" si="26"/>
        <v>7500.2</v>
      </c>
      <c r="J27" s="304">
        <f t="shared" si="26"/>
        <v>7500.2</v>
      </c>
      <c r="K27" s="169"/>
      <c r="L27" s="169"/>
      <c r="M27" s="329" t="s">
        <v>106</v>
      </c>
      <c r="N27" s="83"/>
      <c r="O27" s="58">
        <f>INDEX(P27:U27,1,MATCH(C$9,P$2:U$2,0))</f>
        <v>4.5</v>
      </c>
      <c r="P27" s="95">
        <v>4.5</v>
      </c>
      <c r="Q27" s="95">
        <v>4.5</v>
      </c>
      <c r="R27" s="95">
        <v>15</v>
      </c>
      <c r="S27" s="95">
        <v>15</v>
      </c>
      <c r="T27" s="96">
        <v>7.5</v>
      </c>
      <c r="U27" s="96">
        <v>10</v>
      </c>
      <c r="V27" s="58"/>
    </row>
    <row r="28" spans="2:37" s="27" customFormat="1" ht="18" hidden="1" customHeight="1">
      <c r="B28" s="140"/>
      <c r="C28" s="161"/>
      <c r="D28" s="161"/>
      <c r="E28" s="161"/>
      <c r="F28" s="161"/>
      <c r="G28" s="161"/>
      <c r="H28" s="161"/>
      <c r="I28" s="161"/>
      <c r="J28" s="302"/>
      <c r="K28" s="174"/>
      <c r="L28" s="174"/>
      <c r="M28" s="330"/>
      <c r="N28" s="80"/>
      <c r="O28" s="58"/>
      <c r="P28" s="91"/>
      <c r="Q28" s="91"/>
      <c r="R28" s="91"/>
      <c r="S28" s="91"/>
      <c r="T28" s="91"/>
      <c r="U28" s="91"/>
      <c r="V28" s="58"/>
    </row>
    <row r="29" spans="2:37" s="27" customFormat="1" ht="18" hidden="1" customHeight="1">
      <c r="B29" s="140" t="s">
        <v>78</v>
      </c>
      <c r="C29" s="146">
        <f t="shared" ref="C29:J29" si="27">MIN(20*LOG10(1/MAX(C$25/$O$11,C$24/$O$10)),10*LOG10($O$8/C$22))</f>
        <v>-6.0636996503008049</v>
      </c>
      <c r="D29" s="146">
        <f t="shared" si="27"/>
        <v>-6.0636996503008049</v>
      </c>
      <c r="E29" s="146">
        <f t="shared" si="27"/>
        <v>51.99810008953807</v>
      </c>
      <c r="F29" s="146">
        <f t="shared" si="27"/>
        <v>51.99810008953807</v>
      </c>
      <c r="G29" s="146">
        <f t="shared" si="27"/>
        <v>51.99810008953807</v>
      </c>
      <c r="H29" s="146">
        <f t="shared" si="27"/>
        <v>51.99810008953807</v>
      </c>
      <c r="I29" s="146">
        <f t="shared" si="27"/>
        <v>51.99810008953807</v>
      </c>
      <c r="J29" s="258">
        <f t="shared" si="27"/>
        <v>51.99810008953807</v>
      </c>
      <c r="K29" s="174"/>
      <c r="L29" s="174"/>
      <c r="M29" s="330"/>
      <c r="N29" s="27" t="s">
        <v>182</v>
      </c>
      <c r="O29" s="64">
        <f>INDEX(P29:U29,1,MATCH(C$9,P$2:U$2,0))</f>
        <v>600</v>
      </c>
      <c r="P29" s="88">
        <v>320</v>
      </c>
      <c r="Q29" s="88">
        <v>600</v>
      </c>
      <c r="R29" s="64">
        <v>3000</v>
      </c>
      <c r="S29" s="64">
        <v>3000</v>
      </c>
      <c r="T29" s="64">
        <v>1600</v>
      </c>
      <c r="U29" s="64">
        <v>800</v>
      </c>
      <c r="V29" s="58"/>
    </row>
    <row r="30" spans="2:37" s="27" customFormat="1" ht="15.95" hidden="1" customHeight="1">
      <c r="B30" s="234" t="s">
        <v>107</v>
      </c>
      <c r="C30" s="136"/>
      <c r="D30" s="136"/>
      <c r="E30" s="136"/>
      <c r="F30" s="136"/>
      <c r="G30" s="136"/>
      <c r="H30" s="136"/>
      <c r="I30" s="136"/>
      <c r="J30" s="270"/>
      <c r="K30" s="163"/>
      <c r="L30" s="163"/>
      <c r="M30" s="328"/>
      <c r="N30" s="27" t="s">
        <v>183</v>
      </c>
      <c r="O30" s="64">
        <f>INDEX(P30:U30,1,MATCH(C$9,P$2:U$2,0))</f>
        <v>500</v>
      </c>
      <c r="P30" s="88">
        <v>320</v>
      </c>
      <c r="Q30" s="88">
        <v>500</v>
      </c>
      <c r="R30" s="64">
        <v>5500</v>
      </c>
      <c r="S30" s="64">
        <v>4000</v>
      </c>
      <c r="T30" s="64">
        <v>1600</v>
      </c>
      <c r="U30" s="64">
        <v>800</v>
      </c>
    </row>
    <row r="31" spans="2:37" s="27" customFormat="1" ht="15.95" hidden="1" customHeight="1">
      <c r="B31" s="234" t="s">
        <v>108</v>
      </c>
      <c r="C31" s="180">
        <f t="shared" ref="C31:J31" si="28">MIN(C22,$O$8)</f>
        <v>160</v>
      </c>
      <c r="D31" s="180">
        <f t="shared" si="28"/>
        <v>160</v>
      </c>
      <c r="E31" s="180">
        <f t="shared" si="28"/>
        <v>9.9999999999999995E-8</v>
      </c>
      <c r="F31" s="180">
        <f t="shared" si="28"/>
        <v>9.9999999999999995E-8</v>
      </c>
      <c r="G31" s="180">
        <f t="shared" si="28"/>
        <v>9.9999999999999995E-8</v>
      </c>
      <c r="H31" s="180">
        <f t="shared" si="28"/>
        <v>9.9999999999999995E-8</v>
      </c>
      <c r="I31" s="180">
        <f t="shared" si="28"/>
        <v>9.9999999999999995E-8</v>
      </c>
      <c r="J31" s="308">
        <f t="shared" si="28"/>
        <v>9.9999999999999995E-8</v>
      </c>
      <c r="K31" s="163"/>
      <c r="L31" s="163"/>
      <c r="M31" s="328"/>
    </row>
    <row r="32" spans="2:37" s="27" customFormat="1" ht="15.95" hidden="1" customHeight="1">
      <c r="B32" s="234" t="s">
        <v>109</v>
      </c>
      <c r="C32" s="180">
        <f t="shared" ref="C32:J32" si="29">MIN(C31,$O11^2/2/C26)</f>
        <v>160</v>
      </c>
      <c r="D32" s="180">
        <f t="shared" si="29"/>
        <v>160</v>
      </c>
      <c r="E32" s="180">
        <f t="shared" si="29"/>
        <v>9.9999999999999995E-8</v>
      </c>
      <c r="F32" s="180">
        <f t="shared" si="29"/>
        <v>9.9999999999999995E-8</v>
      </c>
      <c r="G32" s="180">
        <f t="shared" si="29"/>
        <v>9.9999999999999995E-8</v>
      </c>
      <c r="H32" s="180">
        <f t="shared" si="29"/>
        <v>9.9999999999999995E-8</v>
      </c>
      <c r="I32" s="180">
        <f t="shared" si="29"/>
        <v>9.9999999999999995E-8</v>
      </c>
      <c r="J32" s="308">
        <f t="shared" si="29"/>
        <v>9.9999999999999995E-8</v>
      </c>
      <c r="K32" s="163"/>
      <c r="L32" s="163"/>
      <c r="M32" s="328"/>
    </row>
    <row r="33" spans="2:21" s="27" customFormat="1" ht="15.95" hidden="1" customHeight="1">
      <c r="B33" s="285" t="s">
        <v>110</v>
      </c>
      <c r="C33" s="180">
        <f>MIN(($O10^2*C27)/2,C32)</f>
        <v>160</v>
      </c>
      <c r="D33" s="180">
        <f>MIN(($O10^2*D27)/2,D32)</f>
        <v>160</v>
      </c>
      <c r="E33" s="180">
        <f>MIN(($O10^2*E27)/2,E32)</f>
        <v>9.9999999999999995E-8</v>
      </c>
      <c r="F33" s="180">
        <f>MIN(($O10^2*F27)/2,F32)</f>
        <v>9.9999999999999995E-8</v>
      </c>
      <c r="G33" s="180">
        <f>MIN(($O10*G27)^2/2/G26,G32)</f>
        <v>9.9999999999999995E-8</v>
      </c>
      <c r="H33" s="180">
        <f>MIN(($O10*H27)^2/2/H26,H32)</f>
        <v>9.9999999999999995E-8</v>
      </c>
      <c r="I33" s="180">
        <f>MIN(($O10*I27)^2/2/I26,I32)</f>
        <v>9.9999999999999995E-8</v>
      </c>
      <c r="J33" s="308">
        <f>MIN(($O10*J27)^2/2/J26,J32)</f>
        <v>9.9999999999999995E-8</v>
      </c>
      <c r="K33" s="163"/>
      <c r="L33" s="163"/>
      <c r="M33" s="328"/>
    </row>
    <row r="34" spans="2:21" s="27" customFormat="1" ht="15.95" hidden="1" customHeight="1">
      <c r="B34" s="140" t="s">
        <v>111</v>
      </c>
      <c r="C34" s="148">
        <f t="shared" ref="C34:J34" si="30">IF(C22*10^($L22/10)&gt;$O8,$O8,C22*10^($L22/10))</f>
        <v>299.99999943749987</v>
      </c>
      <c r="D34" s="148">
        <f t="shared" si="30"/>
        <v>299.99999943749987</v>
      </c>
      <c r="E34" s="148">
        <f t="shared" si="30"/>
        <v>1.8749999964843742E-7</v>
      </c>
      <c r="F34" s="148">
        <f t="shared" si="30"/>
        <v>1.8749999964843742E-7</v>
      </c>
      <c r="G34" s="148">
        <f t="shared" si="30"/>
        <v>1.8749999964843742E-7</v>
      </c>
      <c r="H34" s="148">
        <f t="shared" si="30"/>
        <v>1.8749999964843742E-7</v>
      </c>
      <c r="I34" s="148">
        <f t="shared" si="30"/>
        <v>1.8749999964843742E-7</v>
      </c>
      <c r="J34" s="251">
        <f t="shared" si="30"/>
        <v>1.8749999964843742E-7</v>
      </c>
      <c r="K34" s="148">
        <f>SUM(C34:J34)</f>
        <v>599.99999999999943</v>
      </c>
      <c r="L34" s="163"/>
      <c r="M34" s="328"/>
    </row>
    <row r="35" spans="2:21" s="27" customFormat="1" ht="15.95" hidden="1" customHeight="1">
      <c r="B35" s="140" t="s">
        <v>99</v>
      </c>
      <c r="C35" s="154">
        <f t="shared" ref="C35:J35" si="31">SQRT(C34*C$26*2)</f>
        <v>48.989794809735621</v>
      </c>
      <c r="D35" s="154">
        <f t="shared" si="31"/>
        <v>48.989794809735621</v>
      </c>
      <c r="E35" s="154">
        <f t="shared" si="31"/>
        <v>6.1237243512169526E-2</v>
      </c>
      <c r="F35" s="154">
        <f t="shared" si="31"/>
        <v>6.1237243512169526E-2</v>
      </c>
      <c r="G35" s="154">
        <f t="shared" si="31"/>
        <v>6.1237243512169526E-2</v>
      </c>
      <c r="H35" s="154">
        <f t="shared" si="31"/>
        <v>6.1237243512169526E-2</v>
      </c>
      <c r="I35" s="154">
        <f t="shared" si="31"/>
        <v>6.1237243512169526E-2</v>
      </c>
      <c r="J35" s="256">
        <f t="shared" si="31"/>
        <v>6.1237243512169526E-2</v>
      </c>
      <c r="K35" s="163"/>
      <c r="L35" s="163"/>
      <c r="M35" s="328"/>
    </row>
    <row r="36" spans="2:21" s="27" customFormat="1" ht="15.95" hidden="1" customHeight="1">
      <c r="B36" s="140" t="s">
        <v>101</v>
      </c>
      <c r="C36" s="159">
        <f t="shared" ref="C36:J36" si="32">(C35/C$27)</f>
        <v>15.30931087804238</v>
      </c>
      <c r="D36" s="159">
        <f t="shared" si="32"/>
        <v>15.30931087804238</v>
      </c>
      <c r="E36" s="159">
        <f t="shared" si="32"/>
        <v>8.1647480750072709E-6</v>
      </c>
      <c r="F36" s="159">
        <f t="shared" si="32"/>
        <v>8.1647480750072709E-6</v>
      </c>
      <c r="G36" s="159">
        <f t="shared" si="32"/>
        <v>8.1647480750072709E-6</v>
      </c>
      <c r="H36" s="159">
        <f t="shared" si="32"/>
        <v>8.1647480750072709E-6</v>
      </c>
      <c r="I36" s="159">
        <f t="shared" si="32"/>
        <v>8.1647480750072709E-6</v>
      </c>
      <c r="J36" s="301">
        <f t="shared" si="32"/>
        <v>8.1647480750072709E-6</v>
      </c>
      <c r="K36" s="163"/>
      <c r="L36" s="163"/>
      <c r="M36" s="328"/>
    </row>
    <row r="37" spans="2:21" s="27" customFormat="1" ht="15.95" hidden="1" customHeight="1">
      <c r="B37" s="140" t="s">
        <v>78</v>
      </c>
      <c r="C37" s="146">
        <f>MIN(20*LOG10(1/MAX(C$35/$O$11,C$36/$O$10)),10*LOG10($O$8/C$34))</f>
        <v>1.3092872036029626</v>
      </c>
      <c r="D37" s="146">
        <f>MIN(20*LOG10(1/MAX(D$35/$O$11,D$36/$O$10)),10*LOG10($O$8/D$34))</f>
        <v>1.3092872036029626</v>
      </c>
      <c r="E37" s="146">
        <f t="shared" ref="E37:J37" si="33">20*LOG10(1/MAX(E35/$O11,E36/$O10))</f>
        <v>67.305454218526961</v>
      </c>
      <c r="F37" s="146">
        <f t="shared" si="33"/>
        <v>67.305454218526961</v>
      </c>
      <c r="G37" s="146">
        <f t="shared" si="33"/>
        <v>67.305454218526961</v>
      </c>
      <c r="H37" s="146">
        <f t="shared" si="33"/>
        <v>67.305454218526961</v>
      </c>
      <c r="I37" s="146">
        <f t="shared" si="33"/>
        <v>67.305454218526961</v>
      </c>
      <c r="J37" s="258">
        <f t="shared" si="33"/>
        <v>67.305454218526961</v>
      </c>
      <c r="K37" s="163"/>
      <c r="L37" s="163"/>
      <c r="M37" s="328"/>
    </row>
    <row r="38" spans="2:21" s="27" customFormat="1" ht="15.95" hidden="1" customHeight="1">
      <c r="B38" s="234" t="s">
        <v>112</v>
      </c>
      <c r="C38" s="136"/>
      <c r="D38" s="136"/>
      <c r="E38" s="136"/>
      <c r="F38" s="136"/>
      <c r="G38" s="136"/>
      <c r="H38" s="136"/>
      <c r="I38" s="136"/>
      <c r="J38" s="270"/>
      <c r="K38" s="163"/>
      <c r="L38" s="163"/>
      <c r="M38" s="328"/>
    </row>
    <row r="39" spans="2:21" s="27" customFormat="1" ht="15.95" hidden="1" customHeight="1">
      <c r="B39" s="140" t="s">
        <v>113</v>
      </c>
      <c r="C39" s="182">
        <f t="shared" ref="C39:J39" si="34">SQRT(C40/C34)</f>
        <v>0.73029674402487477</v>
      </c>
      <c r="D39" s="182">
        <f t="shared" si="34"/>
        <v>0.73029674402487477</v>
      </c>
      <c r="E39" s="182">
        <f t="shared" si="34"/>
        <v>0.73029674402487477</v>
      </c>
      <c r="F39" s="182">
        <f t="shared" si="34"/>
        <v>0.73029674402487477</v>
      </c>
      <c r="G39" s="182">
        <f t="shared" si="34"/>
        <v>0.73029674402487477</v>
      </c>
      <c r="H39" s="182">
        <f t="shared" si="34"/>
        <v>0.73029674402487477</v>
      </c>
      <c r="I39" s="182">
        <f t="shared" si="34"/>
        <v>0.73029674402487477</v>
      </c>
      <c r="J39" s="309">
        <f t="shared" si="34"/>
        <v>0.73029674402487477</v>
      </c>
      <c r="K39" s="163"/>
      <c r="L39" s="163"/>
      <c r="M39" s="328"/>
      <c r="N39" s="61" t="s">
        <v>114</v>
      </c>
    </row>
    <row r="40" spans="2:21" s="27" customFormat="1" ht="15.95" hidden="1" customHeight="1">
      <c r="B40" s="140" t="s">
        <v>111</v>
      </c>
      <c r="C40" s="148">
        <f t="shared" ref="C40:J40" si="35">MIN(C34,C33)</f>
        <v>160</v>
      </c>
      <c r="D40" s="148">
        <f t="shared" si="35"/>
        <v>160</v>
      </c>
      <c r="E40" s="148">
        <f t="shared" si="35"/>
        <v>9.9999999999999995E-8</v>
      </c>
      <c r="F40" s="148">
        <f t="shared" si="35"/>
        <v>9.9999999999999995E-8</v>
      </c>
      <c r="G40" s="148">
        <f t="shared" si="35"/>
        <v>9.9999999999999995E-8</v>
      </c>
      <c r="H40" s="148">
        <f t="shared" si="35"/>
        <v>9.9999999999999995E-8</v>
      </c>
      <c r="I40" s="148">
        <f t="shared" si="35"/>
        <v>9.9999999999999995E-8</v>
      </c>
      <c r="J40" s="251">
        <f t="shared" si="35"/>
        <v>9.9999999999999995E-8</v>
      </c>
      <c r="K40" s="148">
        <f>SUM(C40:J40)</f>
        <v>320.00000060000013</v>
      </c>
      <c r="L40" s="146">
        <f>10*LOG10(O$3/K40)</f>
        <v>2.7300127124943527</v>
      </c>
      <c r="M40" s="326"/>
      <c r="N40" s="62">
        <f>IF(C$39&lt;1,0,C40)+IF(D$39&lt;1,0,D40)+IF(E$39&lt;1,0,E40)+IF(J$39&lt;1,0,J40)</f>
        <v>0</v>
      </c>
    </row>
    <row r="41" spans="2:21" s="27" customFormat="1" ht="15.95" hidden="1" customHeight="1">
      <c r="B41" s="140" t="s">
        <v>99</v>
      </c>
      <c r="C41" s="154">
        <f t="shared" ref="C41:J42" si="36">C35*C$39</f>
        <v>35.77708763999663</v>
      </c>
      <c r="D41" s="154">
        <f t="shared" si="36"/>
        <v>35.77708763999663</v>
      </c>
      <c r="E41" s="154">
        <f t="shared" si="36"/>
        <v>4.4721359549995794E-2</v>
      </c>
      <c r="F41" s="154">
        <f t="shared" si="36"/>
        <v>4.4721359549995794E-2</v>
      </c>
      <c r="G41" s="154">
        <f t="shared" si="36"/>
        <v>4.4721359549995794E-2</v>
      </c>
      <c r="H41" s="154">
        <f t="shared" si="36"/>
        <v>4.4721359549995794E-2</v>
      </c>
      <c r="I41" s="154">
        <f t="shared" si="36"/>
        <v>4.4721359549995794E-2</v>
      </c>
      <c r="J41" s="256">
        <f t="shared" si="36"/>
        <v>4.4721359549995794E-2</v>
      </c>
      <c r="K41" s="163"/>
      <c r="L41" s="185">
        <f>K34-K40</f>
        <v>279.9999993999993</v>
      </c>
      <c r="M41" s="331"/>
      <c r="N41" s="62">
        <f>IF(C$39&lt;1,0,C22)+IF(D$39&lt;1,0,D22)+IF(E$39&lt;1,0,E22)+IF(J$39&lt;1,0,J22)</f>
        <v>0</v>
      </c>
    </row>
    <row r="42" spans="2:21" s="27" customFormat="1" ht="15.95" hidden="1" customHeight="1">
      <c r="B42" s="140" t="s">
        <v>101</v>
      </c>
      <c r="C42" s="159">
        <f t="shared" si="36"/>
        <v>11.180339887498947</v>
      </c>
      <c r="D42" s="159">
        <f t="shared" si="36"/>
        <v>11.180339887498947</v>
      </c>
      <c r="E42" s="159">
        <f t="shared" si="36"/>
        <v>5.9626889349611736E-6</v>
      </c>
      <c r="F42" s="159">
        <f t="shared" si="36"/>
        <v>5.9626889349611736E-6</v>
      </c>
      <c r="G42" s="159">
        <f t="shared" si="36"/>
        <v>5.9626889349611736E-6</v>
      </c>
      <c r="H42" s="159">
        <f t="shared" si="36"/>
        <v>5.9626889349611736E-6</v>
      </c>
      <c r="I42" s="159">
        <f t="shared" si="36"/>
        <v>5.9626889349611736E-6</v>
      </c>
      <c r="J42" s="301">
        <f t="shared" si="36"/>
        <v>5.9626889349611736E-6</v>
      </c>
      <c r="K42" s="163"/>
      <c r="L42" s="182">
        <f>IF(N40&gt;0,SQRT((MIN(L41,N42)+N40)/N40),1)</f>
        <v>1</v>
      </c>
      <c r="M42" s="332"/>
      <c r="N42" s="63">
        <f>N41-N40</f>
        <v>0</v>
      </c>
    </row>
    <row r="43" spans="2:21" s="27" customFormat="1" ht="15.95" hidden="1" customHeight="1">
      <c r="B43" s="234" t="s">
        <v>115</v>
      </c>
      <c r="C43" s="136"/>
      <c r="D43" s="136"/>
      <c r="E43" s="136"/>
      <c r="F43" s="136"/>
      <c r="G43" s="136"/>
      <c r="H43" s="136"/>
      <c r="I43" s="136"/>
      <c r="J43" s="270"/>
      <c r="K43" s="163"/>
      <c r="L43" s="163"/>
      <c r="M43" s="328"/>
    </row>
    <row r="44" spans="2:21" s="27" customFormat="1" ht="15.95" hidden="1" customHeight="1">
      <c r="B44" s="140" t="s">
        <v>116</v>
      </c>
      <c r="C44" s="182">
        <f t="shared" ref="C44:J44" si="37">SQRT(C45/C40)</f>
        <v>1</v>
      </c>
      <c r="D44" s="182">
        <f t="shared" si="37"/>
        <v>1</v>
      </c>
      <c r="E44" s="182">
        <f t="shared" si="37"/>
        <v>1</v>
      </c>
      <c r="F44" s="182">
        <f t="shared" si="37"/>
        <v>1</v>
      </c>
      <c r="G44" s="182">
        <f t="shared" si="37"/>
        <v>1</v>
      </c>
      <c r="H44" s="182">
        <f t="shared" si="37"/>
        <v>1</v>
      </c>
      <c r="I44" s="182">
        <f t="shared" si="37"/>
        <v>1</v>
      </c>
      <c r="J44" s="309">
        <f t="shared" si="37"/>
        <v>1</v>
      </c>
      <c r="K44" s="163"/>
      <c r="L44" s="163"/>
      <c r="M44" s="328"/>
    </row>
    <row r="45" spans="2:21" s="27" customFormat="1" ht="15.95" hidden="1" customHeight="1">
      <c r="B45" s="140" t="s">
        <v>111</v>
      </c>
      <c r="C45" s="148">
        <f>IF(C40&lt;0,C40,MIN($L42^2*C40,C33))</f>
        <v>160</v>
      </c>
      <c r="D45" s="148">
        <f>IF(D40&lt;0,D40,MIN($L42^2*D40,D33))</f>
        <v>160</v>
      </c>
      <c r="E45" s="148">
        <f>IF(E40&lt;0,E40,MIN($L42^2*E40,E33))</f>
        <v>9.9999999999999995E-8</v>
      </c>
      <c r="F45" s="148">
        <f>IF(F40&lt;0,F40,MIN($L42^2*F40,F33))</f>
        <v>9.9999999999999995E-8</v>
      </c>
      <c r="G45" s="148">
        <f t="shared" ref="G45:J45" si="38">IF(G40&lt;0,G40,MIN($L42^2*G40,G33))</f>
        <v>9.9999999999999995E-8</v>
      </c>
      <c r="H45" s="148">
        <f t="shared" si="38"/>
        <v>9.9999999999999995E-8</v>
      </c>
      <c r="I45" s="148">
        <f t="shared" si="38"/>
        <v>9.9999999999999995E-8</v>
      </c>
      <c r="J45" s="251">
        <f t="shared" si="38"/>
        <v>9.9999999999999995E-8</v>
      </c>
      <c r="K45" s="148">
        <f>SUM(C45:J45)</f>
        <v>320.00000060000013</v>
      </c>
      <c r="L45" s="146">
        <f>10*LOG10(O$3/K45)</f>
        <v>2.7300127124943527</v>
      </c>
      <c r="M45" s="326"/>
      <c r="N45" s="62">
        <f>IF(C$48&gt;0,C45,0)+IF(D$48&gt;0,D45,0)+IF(E$48&gt;0,E45,0)+IF(J$48&gt;0,J45,0)</f>
        <v>320.00000020000004</v>
      </c>
      <c r="O45" s="64">
        <f>O3-K45</f>
        <v>279.99999939999987</v>
      </c>
    </row>
    <row r="46" spans="2:21" s="27" customFormat="1" ht="15.95" hidden="1" customHeight="1">
      <c r="B46" s="140" t="s">
        <v>99</v>
      </c>
      <c r="C46" s="154">
        <f t="shared" ref="C46:J46" si="39">SQRT(C45*C$26*2)</f>
        <v>35.777087639996637</v>
      </c>
      <c r="D46" s="154">
        <f t="shared" si="39"/>
        <v>35.777087639996637</v>
      </c>
      <c r="E46" s="154">
        <f t="shared" si="39"/>
        <v>4.4721359549995794E-2</v>
      </c>
      <c r="F46" s="154">
        <f t="shared" si="39"/>
        <v>4.4721359549995794E-2</v>
      </c>
      <c r="G46" s="154">
        <f t="shared" si="39"/>
        <v>4.4721359549995794E-2</v>
      </c>
      <c r="H46" s="154">
        <f t="shared" si="39"/>
        <v>4.4721359549995794E-2</v>
      </c>
      <c r="I46" s="154">
        <f t="shared" si="39"/>
        <v>4.4721359549995794E-2</v>
      </c>
      <c r="J46" s="256">
        <f t="shared" si="39"/>
        <v>4.4721359549995794E-2</v>
      </c>
      <c r="K46" s="163"/>
      <c r="L46" s="163"/>
      <c r="M46" s="328"/>
      <c r="N46" s="62">
        <f>IF(C49&gt;0,C46,0)+IF(D49&gt;0,D46,0)+IF(E49&gt;0,E46,0)+IF(J49&gt;0,J46,0)</f>
        <v>0</v>
      </c>
    </row>
    <row r="47" spans="2:21" s="106" customFormat="1" ht="15.95" hidden="1" customHeight="1">
      <c r="B47" s="226" t="s">
        <v>101</v>
      </c>
      <c r="C47" s="189">
        <f t="shared" ref="C47:J47" si="40">C46/C$27</f>
        <v>11.180339887498949</v>
      </c>
      <c r="D47" s="189">
        <f t="shared" si="40"/>
        <v>11.180339887498949</v>
      </c>
      <c r="E47" s="189">
        <f t="shared" si="40"/>
        <v>5.9626889349611736E-6</v>
      </c>
      <c r="F47" s="189">
        <f t="shared" si="40"/>
        <v>5.9626889349611736E-6</v>
      </c>
      <c r="G47" s="189">
        <f t="shared" si="40"/>
        <v>5.9626889349611736E-6</v>
      </c>
      <c r="H47" s="189">
        <f t="shared" si="40"/>
        <v>5.9626889349611736E-6</v>
      </c>
      <c r="I47" s="189">
        <f t="shared" si="40"/>
        <v>5.9626889349611736E-6</v>
      </c>
      <c r="J47" s="310">
        <f t="shared" si="40"/>
        <v>5.9626889349611736E-6</v>
      </c>
      <c r="K47" s="333"/>
      <c r="L47" s="334">
        <f>IF(N46&gt;0,SQRT((N45+O45)/N45),1)</f>
        <v>1</v>
      </c>
      <c r="M47" s="335"/>
    </row>
    <row r="48" spans="2:21" s="27" customFormat="1" ht="15.95" hidden="1" customHeight="1">
      <c r="B48" s="140" t="s">
        <v>78</v>
      </c>
      <c r="C48" s="146">
        <f t="shared" ref="C48:J48" si="41">MIN(20*LOG10(1/MAX(C46/$O$11,C47/$O$10)),10*LOG10($O$8/C45))</f>
        <v>4.039299916097316</v>
      </c>
      <c r="D48" s="146">
        <f t="shared" si="41"/>
        <v>4.039299916097316</v>
      </c>
      <c r="E48" s="146">
        <f t="shared" si="41"/>
        <v>70.035466931021318</v>
      </c>
      <c r="F48" s="146">
        <f t="shared" si="41"/>
        <v>70.035466931021318</v>
      </c>
      <c r="G48" s="146">
        <f t="shared" si="41"/>
        <v>70.035466931021318</v>
      </c>
      <c r="H48" s="146">
        <f t="shared" si="41"/>
        <v>70.035466931021318</v>
      </c>
      <c r="I48" s="146">
        <f t="shared" si="41"/>
        <v>70.035466931021318</v>
      </c>
      <c r="J48" s="258">
        <f t="shared" si="41"/>
        <v>70.035466931021318</v>
      </c>
      <c r="K48" s="163"/>
      <c r="L48" s="163"/>
      <c r="M48" s="328"/>
      <c r="N48" s="27" t="s">
        <v>184</v>
      </c>
      <c r="O48" s="64">
        <f>INDEX(P48:U48,1,MATCH(C$9,P$2:U$2,0))</f>
        <v>600</v>
      </c>
      <c r="P48" s="88">
        <v>320</v>
      </c>
      <c r="Q48" s="88">
        <v>600</v>
      </c>
      <c r="R48" s="64">
        <v>6400</v>
      </c>
      <c r="S48" s="64">
        <v>4800</v>
      </c>
      <c r="T48" s="64">
        <v>1600</v>
      </c>
      <c r="U48" s="64">
        <v>800</v>
      </c>
    </row>
    <row r="49" spans="2:21" s="27" customFormat="1" ht="15.95" hidden="1" customHeight="1">
      <c r="B49" s="234" t="s">
        <v>117</v>
      </c>
      <c r="C49" s="136"/>
      <c r="D49" s="136"/>
      <c r="E49" s="136"/>
      <c r="F49" s="136"/>
      <c r="G49" s="136"/>
      <c r="H49" s="136"/>
      <c r="I49" s="136"/>
      <c r="J49" s="270"/>
      <c r="K49" s="163"/>
      <c r="L49" s="163"/>
      <c r="M49" s="328"/>
      <c r="N49" s="27" t="s">
        <v>185</v>
      </c>
      <c r="O49" s="64">
        <f>INDEX(P49:U49,1,MATCH(C$9,P$2:U$2,0))</f>
        <v>500</v>
      </c>
      <c r="P49" s="88">
        <v>320</v>
      </c>
      <c r="Q49" s="88">
        <v>500</v>
      </c>
      <c r="R49" s="64">
        <v>8000</v>
      </c>
      <c r="S49" s="64">
        <v>4800</v>
      </c>
      <c r="T49" s="64">
        <v>1600</v>
      </c>
      <c r="U49" s="64">
        <v>800</v>
      </c>
    </row>
    <row r="50" spans="2:21" s="27" customFormat="1" ht="15.95" hidden="1" customHeight="1">
      <c r="B50" s="140" t="s">
        <v>118</v>
      </c>
      <c r="C50" s="182">
        <f>IF(C48&lt;0,10^(C48/20),IF(C48&gt;0,$L47,1))</f>
        <v>1</v>
      </c>
      <c r="D50" s="182">
        <f>IF(D48&lt;0,10^(D48/20),IF(D48&gt;0,$L47,1))</f>
        <v>1</v>
      </c>
      <c r="E50" s="182">
        <f>IF(E48&lt;0,10^(E48/20),IF(E48&gt;0,$L47,1))</f>
        <v>1</v>
      </c>
      <c r="F50" s="182">
        <f>IF(F48&lt;0,10^(F48/20),IF(F48&gt;0,$L47,1))</f>
        <v>1</v>
      </c>
      <c r="G50" s="182">
        <f t="shared" ref="G50:J50" si="42">IF(G48&lt;0,10^(G48/20),IF(G48&gt;0,$L47,1))</f>
        <v>1</v>
      </c>
      <c r="H50" s="182">
        <f t="shared" si="42"/>
        <v>1</v>
      </c>
      <c r="I50" s="182">
        <f t="shared" si="42"/>
        <v>1</v>
      </c>
      <c r="J50" s="309">
        <f t="shared" si="42"/>
        <v>1</v>
      </c>
      <c r="K50" s="148"/>
      <c r="L50" s="163"/>
      <c r="M50" s="328"/>
    </row>
    <row r="51" spans="2:21" s="27" customFormat="1" ht="15.95" hidden="1" customHeight="1">
      <c r="B51" s="140" t="s">
        <v>119</v>
      </c>
      <c r="C51" s="182"/>
      <c r="D51" s="182"/>
      <c r="E51" s="182"/>
      <c r="F51" s="182"/>
      <c r="G51" s="182"/>
      <c r="H51" s="182"/>
      <c r="I51" s="182"/>
      <c r="J51" s="309"/>
      <c r="K51" s="148"/>
      <c r="L51" s="163"/>
      <c r="M51" s="328"/>
    </row>
    <row r="52" spans="2:21" ht="16.5" hidden="1" thickBot="1">
      <c r="B52" s="286"/>
      <c r="C52" s="194"/>
      <c r="D52" s="194"/>
      <c r="E52" s="194"/>
      <c r="F52" s="194"/>
      <c r="G52" s="194"/>
      <c r="H52" s="194"/>
      <c r="I52" s="194"/>
      <c r="J52" s="311"/>
      <c r="K52" s="196"/>
      <c r="L52" s="196"/>
      <c r="M52" s="311"/>
    </row>
    <row r="53" spans="2:21" hidden="1">
      <c r="B53" s="364" t="s">
        <v>186</v>
      </c>
      <c r="C53" s="365" t="str">
        <f>IF(C$14="70V",10*LOG10($O$29/C$22),"")</f>
        <v/>
      </c>
      <c r="D53" s="365" t="str">
        <f>IF(D$14="70V",10*LOG10($O$29/D$22),"")</f>
        <v/>
      </c>
      <c r="E53" s="370"/>
      <c r="F53" s="370"/>
      <c r="G53" s="370"/>
      <c r="H53" s="370"/>
      <c r="I53" s="370"/>
      <c r="J53" s="370"/>
      <c r="K53" s="366" cm="1">
        <f t="array" ref="K53">IF(AND(C$14:F$14="70V"),10*LOG10($O$48/K$22),$L$22)</f>
        <v>2.7300127124943527</v>
      </c>
      <c r="L53" s="196"/>
      <c r="M53" s="311"/>
    </row>
    <row r="54" spans="2:21" ht="16.5" hidden="1" thickBot="1">
      <c r="B54" s="367" t="s">
        <v>187</v>
      </c>
      <c r="C54" s="368" t="str">
        <f>IF(C$14="100V",10*LOG10($O$30/C$22),"")</f>
        <v/>
      </c>
      <c r="D54" s="368" t="str">
        <f>IF(D$14="100V",10*LOG10($O$30/D$22),"")</f>
        <v/>
      </c>
      <c r="E54" s="371"/>
      <c r="F54" s="371"/>
      <c r="G54" s="371"/>
      <c r="H54" s="371"/>
      <c r="I54" s="371"/>
      <c r="J54" s="371"/>
      <c r="K54" s="369" cm="1">
        <f t="array" ref="K54">IF(AND(C$14:F$14="100V"),10*LOG10($O$49/K$22),$L$22)</f>
        <v>2.7300127124943527</v>
      </c>
      <c r="L54" s="196"/>
      <c r="M54" s="311"/>
    </row>
    <row r="55" spans="2:21" hidden="1">
      <c r="B55" s="286"/>
      <c r="C55" s="194"/>
      <c r="D55" s="194"/>
      <c r="E55" s="194"/>
      <c r="F55" s="194"/>
      <c r="G55" s="194"/>
      <c r="H55" s="194"/>
      <c r="I55" s="194"/>
      <c r="J55" s="311"/>
      <c r="K55" s="196"/>
      <c r="L55" s="196"/>
      <c r="M55" s="311"/>
    </row>
    <row r="56" spans="2:21" hidden="1">
      <c r="B56" s="286"/>
      <c r="C56" s="194"/>
      <c r="D56" s="194"/>
      <c r="E56" s="194"/>
      <c r="F56" s="194"/>
      <c r="G56" s="194"/>
      <c r="H56" s="194"/>
      <c r="I56" s="194"/>
      <c r="J56" s="311"/>
      <c r="K56" s="196"/>
      <c r="L56" s="196"/>
      <c r="M56" s="311"/>
    </row>
    <row r="57" spans="2:21" hidden="1">
      <c r="B57" s="286"/>
      <c r="C57" s="194"/>
      <c r="D57" s="194"/>
      <c r="E57" s="194"/>
      <c r="F57" s="194"/>
      <c r="G57" s="194"/>
      <c r="H57" s="194"/>
      <c r="I57" s="194"/>
      <c r="J57" s="311"/>
      <c r="K57" s="196"/>
      <c r="L57" s="196"/>
      <c r="M57" s="311"/>
    </row>
    <row r="58" spans="2:21" hidden="1">
      <c r="B58" s="286"/>
      <c r="C58" s="194"/>
      <c r="D58" s="194"/>
      <c r="E58" s="194"/>
      <c r="F58" s="194"/>
      <c r="G58" s="194"/>
      <c r="H58" s="194"/>
      <c r="I58" s="194"/>
      <c r="J58" s="311"/>
      <c r="K58" s="196"/>
      <c r="L58" s="196"/>
      <c r="M58" s="311"/>
    </row>
    <row r="59" spans="2:21" hidden="1">
      <c r="B59" s="286"/>
      <c r="C59" s="194"/>
      <c r="D59" s="194"/>
      <c r="E59" s="194"/>
      <c r="F59" s="194"/>
      <c r="G59" s="194"/>
      <c r="H59" s="194"/>
      <c r="I59" s="194"/>
      <c r="J59" s="311"/>
      <c r="K59" s="196"/>
      <c r="L59" s="196"/>
      <c r="M59" s="311"/>
    </row>
    <row r="60" spans="2:21" hidden="1">
      <c r="B60" s="286"/>
      <c r="C60" s="194"/>
      <c r="D60" s="194"/>
      <c r="E60" s="194"/>
      <c r="F60" s="194"/>
      <c r="G60" s="194"/>
      <c r="H60" s="194"/>
      <c r="I60" s="194"/>
      <c r="J60" s="311"/>
      <c r="K60" s="196"/>
      <c r="L60" s="196"/>
      <c r="M60" s="311"/>
    </row>
    <row r="61" spans="2:21" hidden="1">
      <c r="B61" s="286"/>
      <c r="C61" s="194"/>
      <c r="D61" s="194"/>
      <c r="E61" s="194"/>
      <c r="F61" s="194"/>
      <c r="G61" s="194"/>
      <c r="H61" s="194"/>
      <c r="I61" s="194"/>
      <c r="J61" s="311"/>
      <c r="K61" s="196"/>
      <c r="L61" s="196"/>
      <c r="M61" s="311"/>
    </row>
    <row r="62" spans="2:21" hidden="1">
      <c r="B62" s="286"/>
      <c r="C62" s="194"/>
      <c r="D62" s="194"/>
      <c r="E62" s="194"/>
      <c r="F62" s="194"/>
      <c r="G62" s="194"/>
      <c r="H62" s="194"/>
      <c r="I62" s="194"/>
      <c r="J62" s="311"/>
      <c r="K62" s="196"/>
      <c r="L62" s="196"/>
      <c r="M62" s="311"/>
    </row>
    <row r="63" spans="2:21" hidden="1">
      <c r="B63" s="286"/>
      <c r="C63" s="194"/>
      <c r="D63" s="194"/>
      <c r="E63" s="194"/>
      <c r="F63" s="194"/>
      <c r="G63" s="194"/>
      <c r="H63" s="194"/>
      <c r="I63" s="194"/>
      <c r="J63" s="311"/>
      <c r="K63" s="196"/>
      <c r="L63" s="196"/>
      <c r="M63" s="311"/>
    </row>
    <row r="64" spans="2:21" hidden="1">
      <c r="B64" s="286"/>
      <c r="C64" s="194"/>
      <c r="D64" s="194"/>
      <c r="E64" s="194"/>
      <c r="F64" s="194"/>
      <c r="G64" s="194"/>
      <c r="H64" s="194"/>
      <c r="I64" s="194"/>
      <c r="J64" s="311"/>
      <c r="K64" s="196"/>
      <c r="L64" s="196"/>
      <c r="M64" s="311"/>
    </row>
    <row r="65" spans="2:13" hidden="1">
      <c r="B65" s="286"/>
      <c r="C65" s="194"/>
      <c r="D65" s="194"/>
      <c r="E65" s="194"/>
      <c r="F65" s="194"/>
      <c r="G65" s="194"/>
      <c r="H65" s="194"/>
      <c r="I65" s="194"/>
      <c r="J65" s="311"/>
      <c r="K65" s="196"/>
      <c r="L65" s="196"/>
      <c r="M65" s="311"/>
    </row>
    <row r="66" spans="2:13" hidden="1">
      <c r="B66" s="286"/>
      <c r="C66" s="194"/>
      <c r="D66" s="194"/>
      <c r="E66" s="194"/>
      <c r="F66" s="194"/>
      <c r="G66" s="194"/>
      <c r="H66" s="194"/>
      <c r="I66" s="194"/>
      <c r="J66" s="311"/>
      <c r="K66" s="196"/>
      <c r="L66" s="196"/>
      <c r="M66" s="311"/>
    </row>
    <row r="67" spans="2:13" hidden="1">
      <c r="B67" s="286"/>
      <c r="C67" s="194"/>
      <c r="D67" s="194"/>
      <c r="E67" s="194"/>
      <c r="F67" s="194"/>
      <c r="G67" s="194"/>
      <c r="H67" s="194"/>
      <c r="I67" s="194"/>
      <c r="J67" s="311"/>
      <c r="K67" s="196"/>
      <c r="L67" s="196"/>
      <c r="M67" s="311"/>
    </row>
    <row r="68" spans="2:13" hidden="1">
      <c r="B68" s="286"/>
      <c r="C68" s="194"/>
      <c r="D68" s="194"/>
      <c r="E68" s="194"/>
      <c r="F68" s="194"/>
      <c r="G68" s="194"/>
      <c r="H68" s="194"/>
      <c r="I68" s="194"/>
      <c r="J68" s="311"/>
      <c r="K68" s="196"/>
      <c r="L68" s="196"/>
      <c r="M68" s="311"/>
    </row>
    <row r="69" spans="2:13" hidden="1">
      <c r="B69" s="286"/>
      <c r="C69" s="194"/>
      <c r="D69" s="194"/>
      <c r="E69" s="194"/>
      <c r="F69" s="194"/>
      <c r="G69" s="194"/>
      <c r="H69" s="194"/>
      <c r="I69" s="194"/>
      <c r="J69" s="311"/>
      <c r="K69" s="196"/>
      <c r="L69" s="196"/>
      <c r="M69" s="311"/>
    </row>
    <row r="70" spans="2:13" hidden="1">
      <c r="B70" s="286"/>
      <c r="C70" s="194"/>
      <c r="D70" s="194"/>
      <c r="E70" s="194"/>
      <c r="F70" s="194"/>
      <c r="G70" s="194"/>
      <c r="H70" s="194"/>
      <c r="I70" s="194"/>
      <c r="J70" s="311"/>
      <c r="K70" s="196"/>
      <c r="L70" s="196"/>
      <c r="M70" s="311"/>
    </row>
    <row r="71" spans="2:13" hidden="1">
      <c r="B71" s="286"/>
      <c r="C71" s="194"/>
      <c r="D71" s="194"/>
      <c r="E71" s="194"/>
      <c r="F71" s="194"/>
      <c r="G71" s="194"/>
      <c r="H71" s="194"/>
      <c r="I71" s="194"/>
      <c r="J71" s="311"/>
      <c r="K71" s="196"/>
      <c r="L71" s="196"/>
      <c r="M71" s="311"/>
    </row>
    <row r="72" spans="2:13" hidden="1">
      <c r="B72" s="286"/>
      <c r="C72" s="194"/>
      <c r="D72" s="194"/>
      <c r="E72" s="194"/>
      <c r="F72" s="194"/>
      <c r="G72" s="194"/>
      <c r="H72" s="194"/>
      <c r="I72" s="194"/>
      <c r="J72" s="311"/>
      <c r="K72" s="196"/>
      <c r="L72" s="196"/>
      <c r="M72" s="311"/>
    </row>
    <row r="73" spans="2:13" hidden="1">
      <c r="B73" s="286"/>
      <c r="C73" s="194"/>
      <c r="D73" s="194"/>
      <c r="E73" s="194"/>
      <c r="F73" s="194"/>
      <c r="G73" s="194"/>
      <c r="H73" s="194"/>
      <c r="I73" s="194"/>
      <c r="J73" s="311"/>
      <c r="K73" s="196"/>
      <c r="L73" s="196"/>
      <c r="M73" s="311"/>
    </row>
    <row r="74" spans="2:13" hidden="1">
      <c r="B74" s="286"/>
      <c r="C74" s="194"/>
      <c r="D74" s="194"/>
      <c r="E74" s="194"/>
      <c r="F74" s="194"/>
      <c r="G74" s="194"/>
      <c r="H74" s="194"/>
      <c r="I74" s="194"/>
      <c r="J74" s="311"/>
      <c r="K74" s="196"/>
      <c r="L74" s="196"/>
      <c r="M74" s="311"/>
    </row>
    <row r="75" spans="2:13" hidden="1">
      <c r="B75" s="286"/>
      <c r="C75" s="194"/>
      <c r="D75" s="194"/>
      <c r="E75" s="194"/>
      <c r="F75" s="194"/>
      <c r="G75" s="194"/>
      <c r="H75" s="194"/>
      <c r="I75" s="194"/>
      <c r="J75" s="311"/>
      <c r="K75" s="196"/>
      <c r="L75" s="196"/>
      <c r="M75" s="311"/>
    </row>
    <row r="76" spans="2:13" hidden="1">
      <c r="B76" s="286"/>
      <c r="C76" s="194"/>
      <c r="D76" s="194"/>
      <c r="E76" s="194"/>
      <c r="F76" s="194"/>
      <c r="G76" s="194"/>
      <c r="H76" s="194"/>
      <c r="I76" s="194"/>
      <c r="J76" s="311"/>
      <c r="K76" s="196"/>
      <c r="L76" s="196"/>
      <c r="M76" s="311"/>
    </row>
    <row r="77" spans="2:13" hidden="1">
      <c r="B77" s="286"/>
      <c r="C77" s="194"/>
      <c r="D77" s="194"/>
      <c r="E77" s="194"/>
      <c r="F77" s="194"/>
      <c r="G77" s="194"/>
      <c r="H77" s="194"/>
      <c r="I77" s="194"/>
      <c r="J77" s="311"/>
      <c r="K77" s="196"/>
      <c r="L77" s="196"/>
      <c r="M77" s="311"/>
    </row>
    <row r="78" spans="2:13" hidden="1">
      <c r="B78" s="286"/>
      <c r="C78" s="194"/>
      <c r="D78" s="194"/>
      <c r="E78" s="194"/>
      <c r="F78" s="194"/>
      <c r="G78" s="194"/>
      <c r="H78" s="194"/>
      <c r="I78" s="194"/>
      <c r="J78" s="311"/>
      <c r="K78" s="196"/>
      <c r="L78" s="196"/>
      <c r="M78" s="311"/>
    </row>
    <row r="79" spans="2:13" hidden="1">
      <c r="B79" s="286"/>
      <c r="C79" s="194"/>
      <c r="D79" s="194"/>
      <c r="E79" s="194"/>
      <c r="F79" s="194"/>
      <c r="G79" s="194"/>
      <c r="H79" s="194"/>
      <c r="I79" s="194"/>
      <c r="J79" s="311"/>
      <c r="K79" s="196"/>
      <c r="L79" s="196"/>
      <c r="M79" s="311"/>
    </row>
    <row r="80" spans="2:13" s="27" customFormat="1" ht="15.95" hidden="1" customHeight="1">
      <c r="B80" s="140" t="s">
        <v>120</v>
      </c>
      <c r="C80" s="148">
        <f t="shared" ref="C80:J80" si="43">10^(C121/10)*C23</f>
        <v>6.6541101688213704</v>
      </c>
      <c r="D80" s="148">
        <f t="shared" si="43"/>
        <v>6.6541101688213704</v>
      </c>
      <c r="E80" s="148">
        <f t="shared" si="43"/>
        <v>7.9621434110699445E-9</v>
      </c>
      <c r="F80" s="148">
        <f t="shared" si="43"/>
        <v>7.9621434110699445E-9</v>
      </c>
      <c r="G80" s="148">
        <f t="shared" si="43"/>
        <v>7.9621434110699445E-9</v>
      </c>
      <c r="H80" s="148">
        <f t="shared" si="43"/>
        <v>7.9621434110699445E-9</v>
      </c>
      <c r="I80" s="148">
        <f t="shared" si="43"/>
        <v>7.9621434110699445E-9</v>
      </c>
      <c r="J80" s="251">
        <f t="shared" si="43"/>
        <v>7.9621434110699445E-9</v>
      </c>
      <c r="K80" s="148">
        <f>SUM(C80:J80)</f>
        <v>13.308220385415598</v>
      </c>
      <c r="L80" s="163"/>
      <c r="M80" s="328"/>
    </row>
    <row r="81" spans="2:25" s="27" customFormat="1" ht="15.95" hidden="1" customHeight="1">
      <c r="B81" s="140" t="s">
        <v>121</v>
      </c>
      <c r="C81" s="148">
        <f t="shared" ref="C81:J81" si="44">10^($L23/10)*C23</f>
        <v>39.99999985641098</v>
      </c>
      <c r="D81" s="148">
        <f t="shared" si="44"/>
        <v>39.99999985641098</v>
      </c>
      <c r="E81" s="148">
        <f t="shared" si="44"/>
        <v>4.7863009060448754E-8</v>
      </c>
      <c r="F81" s="148">
        <f t="shared" si="44"/>
        <v>4.7863009060448754E-8</v>
      </c>
      <c r="G81" s="148">
        <f t="shared" si="44"/>
        <v>4.7863009060448754E-8</v>
      </c>
      <c r="H81" s="148">
        <f t="shared" si="44"/>
        <v>4.7863009060448754E-8</v>
      </c>
      <c r="I81" s="148">
        <f t="shared" si="44"/>
        <v>4.7863009060448754E-8</v>
      </c>
      <c r="J81" s="251">
        <f t="shared" si="44"/>
        <v>4.7863009060448754E-8</v>
      </c>
      <c r="K81" s="148">
        <f>SUM(C81:J81)</f>
        <v>80.000000000000028</v>
      </c>
      <c r="L81" s="163"/>
      <c r="M81" s="328"/>
    </row>
    <row r="82" spans="2:25" s="27" customFormat="1" ht="15.95" hidden="1" customHeight="1">
      <c r="B82" s="140" t="s">
        <v>122</v>
      </c>
      <c r="C82" s="148">
        <f t="shared" ref="C82:J82" si="45">AVERAGE(C80,C81)</f>
        <v>23.327055012616174</v>
      </c>
      <c r="D82" s="148">
        <f t="shared" si="45"/>
        <v>23.327055012616174</v>
      </c>
      <c r="E82" s="148">
        <f t="shared" si="45"/>
        <v>2.7912576235759349E-8</v>
      </c>
      <c r="F82" s="148">
        <f t="shared" si="45"/>
        <v>2.7912576235759349E-8</v>
      </c>
      <c r="G82" s="148">
        <f t="shared" si="45"/>
        <v>2.7912576235759349E-8</v>
      </c>
      <c r="H82" s="148">
        <f t="shared" si="45"/>
        <v>2.7912576235759349E-8</v>
      </c>
      <c r="I82" s="148">
        <f t="shared" si="45"/>
        <v>2.7912576235759349E-8</v>
      </c>
      <c r="J82" s="251">
        <f t="shared" si="45"/>
        <v>2.7912576235759349E-8</v>
      </c>
      <c r="K82" s="148">
        <f>SUM(C82:J82)</f>
        <v>46.654110192707812</v>
      </c>
      <c r="L82" s="146">
        <f>10*LOG10(O$7/K82)</f>
        <v>2.3420007620031096</v>
      </c>
      <c r="M82" s="326"/>
    </row>
    <row r="83" spans="2:25" s="27" customFormat="1" ht="15.95" hidden="1" customHeight="1">
      <c r="B83" s="140" t="s">
        <v>122</v>
      </c>
      <c r="C83" s="148">
        <f t="shared" ref="C83:J83" si="46">MIN(10^($L82/10)*C82,C23)</f>
        <v>6.6541101688213704</v>
      </c>
      <c r="D83" s="148">
        <f t="shared" si="46"/>
        <v>6.6541101688213704</v>
      </c>
      <c r="E83" s="148">
        <f t="shared" si="46"/>
        <v>7.9621434110699445E-9</v>
      </c>
      <c r="F83" s="148">
        <f t="shared" si="46"/>
        <v>7.9621434110699445E-9</v>
      </c>
      <c r="G83" s="148">
        <f t="shared" si="46"/>
        <v>7.9621434110699445E-9</v>
      </c>
      <c r="H83" s="148">
        <f t="shared" si="46"/>
        <v>7.9621434110699445E-9</v>
      </c>
      <c r="I83" s="148">
        <f t="shared" si="46"/>
        <v>7.9621434110699445E-9</v>
      </c>
      <c r="J83" s="251">
        <f t="shared" si="46"/>
        <v>7.9621434110699445E-9</v>
      </c>
      <c r="K83" s="148">
        <f>SUM(C83:J83)</f>
        <v>13.308220385415598</v>
      </c>
      <c r="L83" s="163"/>
      <c r="M83" s="328"/>
      <c r="N83" s="62">
        <f>IF(C$84&lt;1,0,C83)+IF(D$84&lt;1,0,D83)+IF(E$84&lt;1,0,E83)+IF(J$84&lt;1,0,J83)</f>
        <v>13.308220353567027</v>
      </c>
    </row>
    <row r="84" spans="2:25" s="27" customFormat="1" ht="15.95" hidden="1" customHeight="1">
      <c r="B84" s="140" t="s">
        <v>123</v>
      </c>
      <c r="C84" s="182">
        <f t="shared" ref="C84:J84" si="47">C83/C23</f>
        <v>1</v>
      </c>
      <c r="D84" s="182">
        <f t="shared" si="47"/>
        <v>1</v>
      </c>
      <c r="E84" s="182">
        <f t="shared" si="47"/>
        <v>1</v>
      </c>
      <c r="F84" s="182">
        <f t="shared" si="47"/>
        <v>1</v>
      </c>
      <c r="G84" s="182">
        <f t="shared" si="47"/>
        <v>1</v>
      </c>
      <c r="H84" s="182">
        <f t="shared" si="47"/>
        <v>1</v>
      </c>
      <c r="I84" s="182">
        <f t="shared" si="47"/>
        <v>1</v>
      </c>
      <c r="J84" s="309">
        <f t="shared" si="47"/>
        <v>1</v>
      </c>
      <c r="K84" s="148"/>
      <c r="L84" s="182">
        <f>IF(N84&gt;0,(N84+O84)/N84,1)</f>
        <v>1</v>
      </c>
      <c r="M84" s="332"/>
      <c r="N84" s="62">
        <f>K83-N83</f>
        <v>3.1848571779846679E-8</v>
      </c>
      <c r="O84" s="64">
        <f>MIN(K23,O7)-K83</f>
        <v>0</v>
      </c>
    </row>
    <row r="85" spans="2:25" s="27" customFormat="1" ht="17.25" hidden="1" customHeight="1" thickBot="1">
      <c r="B85" s="140"/>
      <c r="C85" s="136"/>
      <c r="D85" s="136"/>
      <c r="E85" s="136"/>
      <c r="F85" s="136"/>
      <c r="G85" s="136"/>
      <c r="H85" s="136"/>
      <c r="I85" s="136"/>
      <c r="J85" s="270"/>
      <c r="K85" s="148"/>
      <c r="L85" s="163"/>
      <c r="M85" s="328"/>
      <c r="N85" s="27" t="s">
        <v>124</v>
      </c>
      <c r="O85" s="28">
        <f>O23/O86</f>
        <v>9.75</v>
      </c>
    </row>
    <row r="86" spans="2:25" s="27" customFormat="1" ht="15" hidden="1" customHeight="1">
      <c r="B86" s="135" t="s">
        <v>125</v>
      </c>
      <c r="C86" s="405" t="s">
        <v>40</v>
      </c>
      <c r="D86" s="405"/>
      <c r="E86" s="405"/>
      <c r="F86" s="405"/>
      <c r="G86" s="405"/>
      <c r="H86" s="405"/>
      <c r="I86" s="405"/>
      <c r="J86" s="409"/>
      <c r="K86" s="198" t="s">
        <v>77</v>
      </c>
      <c r="L86" s="199" t="s">
        <v>78</v>
      </c>
      <c r="M86" s="336"/>
      <c r="N86" s="27" t="s">
        <v>126</v>
      </c>
      <c r="O86" s="120">
        <f>INDEX(P86:U86,1,MATCH(C$9,P$2:U$2,0))</f>
        <v>2</v>
      </c>
      <c r="P86" s="91">
        <v>2</v>
      </c>
      <c r="Q86" s="91">
        <v>2</v>
      </c>
      <c r="R86" s="91">
        <v>2</v>
      </c>
      <c r="S86" s="91">
        <v>2</v>
      </c>
      <c r="T86" s="91">
        <v>2</v>
      </c>
      <c r="U86" s="91">
        <v>2</v>
      </c>
    </row>
    <row r="87" spans="2:25" s="27" customFormat="1" ht="15.95" hidden="1" customHeight="1">
      <c r="B87" s="140" t="s">
        <v>111</v>
      </c>
      <c r="C87" s="148">
        <f t="shared" ref="C87:J87" si="48">MIN(C45*C$50^2,C33)</f>
        <v>160</v>
      </c>
      <c r="D87" s="148">
        <f t="shared" si="48"/>
        <v>160</v>
      </c>
      <c r="E87" s="148">
        <f t="shared" si="48"/>
        <v>9.9999999999999995E-8</v>
      </c>
      <c r="F87" s="148">
        <f t="shared" si="48"/>
        <v>9.9999999999999995E-8</v>
      </c>
      <c r="G87" s="148">
        <f t="shared" si="48"/>
        <v>9.9999999999999995E-8</v>
      </c>
      <c r="H87" s="148">
        <f t="shared" si="48"/>
        <v>9.9999999999999995E-8</v>
      </c>
      <c r="I87" s="148">
        <f t="shared" si="48"/>
        <v>9.9999999999999995E-8</v>
      </c>
      <c r="J87" s="251">
        <f t="shared" si="48"/>
        <v>9.9999999999999995E-8</v>
      </c>
      <c r="K87" s="148">
        <f>SUM(C87:J87)</f>
        <v>320.00000060000013</v>
      </c>
      <c r="L87" s="146">
        <f>10*LOG10(O$3/K87)</f>
        <v>2.7300127124943527</v>
      </c>
      <c r="M87" s="326"/>
      <c r="N87" s="62">
        <f>IF(C$50&lt;1,0,C87)+IF(D$50&lt;1,0,D87)+IF(E$50&lt;1,0,E87)+IF(J$50&lt;1,0,J87)</f>
        <v>320.00000020000004</v>
      </c>
    </row>
    <row r="88" spans="2:25" s="27" customFormat="1" ht="15.95" hidden="1" customHeight="1">
      <c r="B88" s="202" t="s">
        <v>94</v>
      </c>
      <c r="C88" s="148">
        <f t="shared" ref="C88:J88" si="49">MIN(C23,IF(C84&lt;1,$L84,1)*C83)</f>
        <v>6.6541101688213704</v>
      </c>
      <c r="D88" s="148">
        <f t="shared" si="49"/>
        <v>6.6541101688213704</v>
      </c>
      <c r="E88" s="148">
        <f t="shared" si="49"/>
        <v>7.9621434110699445E-9</v>
      </c>
      <c r="F88" s="148">
        <f t="shared" si="49"/>
        <v>7.9621434110699445E-9</v>
      </c>
      <c r="G88" s="148">
        <f t="shared" si="49"/>
        <v>7.9621434110699445E-9</v>
      </c>
      <c r="H88" s="148">
        <f t="shared" si="49"/>
        <v>7.9621434110699445E-9</v>
      </c>
      <c r="I88" s="148">
        <f t="shared" si="49"/>
        <v>7.9621434110699445E-9</v>
      </c>
      <c r="J88" s="251">
        <f t="shared" si="49"/>
        <v>7.9621434110699445E-9</v>
      </c>
      <c r="K88" s="148">
        <f>SUM(C88:J88)</f>
        <v>13.308220385415598</v>
      </c>
      <c r="L88" s="146">
        <f>10*LOG10(O$7/K88)</f>
        <v>7.7897000277702064</v>
      </c>
      <c r="M88" s="326"/>
      <c r="N88" s="62"/>
    </row>
    <row r="89" spans="2:25" s="27" customFormat="1" ht="15.95" hidden="1" customHeight="1">
      <c r="B89" s="202" t="s">
        <v>127</v>
      </c>
      <c r="C89" s="203">
        <f t="shared" ref="C89:J89" si="50">SQRT(C88*C$26)*10^(C$94/20)</f>
        <v>5.6568542494923824</v>
      </c>
      <c r="D89" s="203">
        <f t="shared" si="50"/>
        <v>5.6568542494923824</v>
      </c>
      <c r="E89" s="203">
        <f t="shared" si="50"/>
        <v>1.1233497625229582E-2</v>
      </c>
      <c r="F89" s="203">
        <f t="shared" si="50"/>
        <v>1.1233497625229582E-2</v>
      </c>
      <c r="G89" s="203">
        <f t="shared" si="50"/>
        <v>1.1233497625229582E-2</v>
      </c>
      <c r="H89" s="203">
        <f t="shared" si="50"/>
        <v>1.1233497625229582E-2</v>
      </c>
      <c r="I89" s="203">
        <f t="shared" si="50"/>
        <v>1.1233497625229582E-2</v>
      </c>
      <c r="J89" s="312">
        <f t="shared" si="50"/>
        <v>1.1233497625229582E-2</v>
      </c>
      <c r="K89" s="205"/>
      <c r="L89" s="206"/>
      <c r="M89" s="337"/>
      <c r="N89" s="62"/>
    </row>
    <row r="90" spans="2:25" s="27" customFormat="1" ht="15.95" hidden="1" customHeight="1">
      <c r="B90" s="140" t="s">
        <v>128</v>
      </c>
      <c r="C90" s="208">
        <f t="shared" ref="C90:J90" si="51">C23*10^(C122/10)</f>
        <v>6.6541101688213686</v>
      </c>
      <c r="D90" s="208">
        <f t="shared" si="51"/>
        <v>6.6541101688213686</v>
      </c>
      <c r="E90" s="208">
        <f t="shared" si="51"/>
        <v>7.9621434110699445E-9</v>
      </c>
      <c r="F90" s="208">
        <f t="shared" si="51"/>
        <v>7.9621434110699445E-9</v>
      </c>
      <c r="G90" s="208">
        <f t="shared" si="51"/>
        <v>7.9621434110699445E-9</v>
      </c>
      <c r="H90" s="208">
        <f t="shared" si="51"/>
        <v>7.9621434110699445E-9</v>
      </c>
      <c r="I90" s="208">
        <f t="shared" si="51"/>
        <v>7.9621434110699445E-9</v>
      </c>
      <c r="J90" s="313">
        <f t="shared" si="51"/>
        <v>7.9621434110699445E-9</v>
      </c>
      <c r="K90" s="148">
        <f>SUM(C90:J90)</f>
        <v>13.308220385415595</v>
      </c>
      <c r="L90" s="146">
        <f>10*LOG10(K90/K23)</f>
        <v>-9.6432746655328714E-16</v>
      </c>
      <c r="M90" s="326"/>
      <c r="N90" s="62"/>
    </row>
    <row r="91" spans="2:25" s="27" customFormat="1" ht="15.95" hidden="1" customHeight="1">
      <c r="B91" s="210" t="s">
        <v>129</v>
      </c>
      <c r="C91" s="154">
        <f t="shared" ref="C91:J91" si="52">C46*C$50</f>
        <v>35.777087639996637</v>
      </c>
      <c r="D91" s="154">
        <f t="shared" si="52"/>
        <v>35.777087639996637</v>
      </c>
      <c r="E91" s="154">
        <f t="shared" si="52"/>
        <v>4.4721359549995794E-2</v>
      </c>
      <c r="F91" s="154">
        <f t="shared" si="52"/>
        <v>4.4721359549995794E-2</v>
      </c>
      <c r="G91" s="154">
        <f t="shared" si="52"/>
        <v>4.4721359549995794E-2</v>
      </c>
      <c r="H91" s="154">
        <f t="shared" si="52"/>
        <v>4.4721359549995794E-2</v>
      </c>
      <c r="I91" s="154">
        <f t="shared" si="52"/>
        <v>4.4721359549995794E-2</v>
      </c>
      <c r="J91" s="256">
        <f t="shared" si="52"/>
        <v>4.4721359549995794E-2</v>
      </c>
      <c r="K91" s="205">
        <f>MAX(C91:J91)</f>
        <v>35.777087639996637</v>
      </c>
      <c r="L91" s="206">
        <f>K45-K87</f>
        <v>0</v>
      </c>
      <c r="M91" s="337"/>
      <c r="N91" s="62">
        <f>IF(C$50&lt;1,0,C22)+IF(D$50&lt;1,0,D22)+IF(E$50&lt;1,0,E22)+IF(J$50&lt;1,0,J22)</f>
        <v>320.00000020000004</v>
      </c>
    </row>
    <row r="92" spans="2:25" s="27" customFormat="1" ht="15.95" hidden="1" customHeight="1">
      <c r="B92" s="210" t="s">
        <v>130</v>
      </c>
      <c r="C92" s="154">
        <f t="shared" ref="C92:J92" si="53">SQRT(C90*C$26)*10^(C$94/20)</f>
        <v>5.6568542494923806</v>
      </c>
      <c r="D92" s="154">
        <f t="shared" si="53"/>
        <v>5.6568542494923806</v>
      </c>
      <c r="E92" s="154">
        <f t="shared" si="53"/>
        <v>1.1233497625229582E-2</v>
      </c>
      <c r="F92" s="154">
        <f t="shared" si="53"/>
        <v>1.1233497625229582E-2</v>
      </c>
      <c r="G92" s="154">
        <f t="shared" si="53"/>
        <v>1.1233497625229582E-2</v>
      </c>
      <c r="H92" s="154">
        <f t="shared" si="53"/>
        <v>1.1233497625229582E-2</v>
      </c>
      <c r="I92" s="154">
        <f t="shared" si="53"/>
        <v>1.1233497625229582E-2</v>
      </c>
      <c r="J92" s="256">
        <f t="shared" si="53"/>
        <v>1.1233497625229582E-2</v>
      </c>
      <c r="K92" s="205"/>
      <c r="L92" s="136">
        <f>SQRT(E117*2*E24)</f>
        <v>0</v>
      </c>
      <c r="M92" s="338"/>
      <c r="Y92" s="62"/>
    </row>
    <row r="93" spans="2:25" s="27" customFormat="1" ht="15.95" hidden="1" customHeight="1">
      <c r="B93" s="212" t="s">
        <v>131</v>
      </c>
      <c r="C93" s="146">
        <f t="shared" ref="C93:J93" si="54">-INDEX($Y$12:$Y$16,MATCH(C$17,$W$12:$W$16,0),1)</f>
        <v>-16.020599913279622</v>
      </c>
      <c r="D93" s="146">
        <f t="shared" si="54"/>
        <v>-16.020599913279622</v>
      </c>
      <c r="E93" s="146">
        <f t="shared" si="54"/>
        <v>-12</v>
      </c>
      <c r="F93" s="146">
        <f t="shared" si="54"/>
        <v>-12</v>
      </c>
      <c r="G93" s="146">
        <f t="shared" si="54"/>
        <v>-12</v>
      </c>
      <c r="H93" s="146">
        <f t="shared" si="54"/>
        <v>-12</v>
      </c>
      <c r="I93" s="146">
        <f t="shared" si="54"/>
        <v>-12</v>
      </c>
      <c r="J93" s="258">
        <f t="shared" si="54"/>
        <v>-12</v>
      </c>
      <c r="K93" s="205"/>
      <c r="L93" s="136">
        <f>SQRT(E118*2*E26)</f>
        <v>0</v>
      </c>
      <c r="M93" s="338"/>
      <c r="Y93" s="62"/>
    </row>
    <row r="94" spans="2:25" s="27" customFormat="1" hidden="1">
      <c r="B94" s="213" t="s">
        <v>132</v>
      </c>
      <c r="C94" s="146">
        <f t="shared" ref="C94:J94" si="55">C18+C93</f>
        <v>0.80000000000000071</v>
      </c>
      <c r="D94" s="146">
        <f t="shared" si="55"/>
        <v>0.80000000000000071</v>
      </c>
      <c r="E94" s="146">
        <f t="shared" si="55"/>
        <v>2</v>
      </c>
      <c r="F94" s="146">
        <f t="shared" si="55"/>
        <v>2</v>
      </c>
      <c r="G94" s="146">
        <f t="shared" si="55"/>
        <v>2</v>
      </c>
      <c r="H94" s="146">
        <f t="shared" si="55"/>
        <v>2</v>
      </c>
      <c r="I94" s="146">
        <f t="shared" si="55"/>
        <v>2</v>
      </c>
      <c r="J94" s="258">
        <f t="shared" si="55"/>
        <v>2</v>
      </c>
      <c r="K94" s="205"/>
      <c r="L94" s="136"/>
      <c r="M94" s="338"/>
      <c r="Y94" s="62"/>
    </row>
    <row r="95" spans="2:25" s="27" customFormat="1" ht="15.95" hidden="1" customHeight="1">
      <c r="B95" s="202" t="s">
        <v>133</v>
      </c>
      <c r="C95" s="214">
        <f t="shared" ref="C95:J95" si="56">C47*C$50</f>
        <v>11.180339887498949</v>
      </c>
      <c r="D95" s="214">
        <f t="shared" si="56"/>
        <v>11.180339887498949</v>
      </c>
      <c r="E95" s="214">
        <f t="shared" si="56"/>
        <v>5.9626889349611736E-6</v>
      </c>
      <c r="F95" s="214">
        <f t="shared" si="56"/>
        <v>5.9626889349611736E-6</v>
      </c>
      <c r="G95" s="214">
        <f t="shared" si="56"/>
        <v>5.9626889349611736E-6</v>
      </c>
      <c r="H95" s="214">
        <f t="shared" si="56"/>
        <v>5.9626889349611736E-6</v>
      </c>
      <c r="I95" s="214">
        <f t="shared" si="56"/>
        <v>5.9626889349611736E-6</v>
      </c>
      <c r="J95" s="314">
        <f t="shared" si="56"/>
        <v>5.9626889349611736E-6</v>
      </c>
      <c r="K95" s="163"/>
      <c r="L95" s="216">
        <f>(MIN(L91,N95)+N87)/N87</f>
        <v>1</v>
      </c>
      <c r="M95" s="320"/>
      <c r="N95" s="63">
        <f>N91-N87</f>
        <v>0</v>
      </c>
    </row>
    <row r="96" spans="2:25" s="27" customFormat="1" ht="18" customHeight="1">
      <c r="B96" s="140" t="str">
        <f>IF(LEN($C9)&gt;9,"Set dipswitch to","")</f>
        <v/>
      </c>
      <c r="C96" s="260" t="str">
        <f>IF(LEN($B96)&lt;1,"",IF(C14=$G2,IF(C91&lt;=$O9,"Lo-Z",IF(C91&gt;100,$G3,$G4)),C14))</f>
        <v/>
      </c>
      <c r="D96" s="260" t="str">
        <f>IF(LEN($B96)&lt;1,"",IF(D14=$G2,IF(D91&lt;=$O9,"Lo-Z",IF(D91&gt;100,$G3,$G4)),D14))</f>
        <v/>
      </c>
      <c r="E96" s="260" t="str">
        <f t="shared" ref="E96:J96" si="57">IF(LEN($B96)&lt;1,"",IF(E14=$G2,IF(E91&lt;$O9,"Lo-Z",IF(E91&gt;100,$G3,$G4)),E14))</f>
        <v/>
      </c>
      <c r="F96" s="218" t="str">
        <f t="shared" si="57"/>
        <v/>
      </c>
      <c r="G96" s="218" t="str">
        <f t="shared" si="57"/>
        <v/>
      </c>
      <c r="H96" s="218" t="str">
        <f t="shared" si="57"/>
        <v/>
      </c>
      <c r="I96" s="218" t="str">
        <f t="shared" si="57"/>
        <v/>
      </c>
      <c r="J96" s="315" t="str">
        <f t="shared" si="57"/>
        <v/>
      </c>
      <c r="K96" s="136"/>
      <c r="L96" s="216"/>
      <c r="M96" s="220" t="s">
        <v>208</v>
      </c>
      <c r="N96" s="63"/>
    </row>
    <row r="97" spans="2:14" s="27" customFormat="1" ht="18" hidden="1" customHeight="1">
      <c r="B97" s="140"/>
      <c r="C97" s="218"/>
      <c r="D97" s="315"/>
      <c r="E97" s="218"/>
      <c r="F97" s="218"/>
      <c r="G97" s="218"/>
      <c r="H97" s="218"/>
      <c r="I97" s="218"/>
      <c r="J97" s="315"/>
      <c r="K97" s="136"/>
      <c r="L97" s="216"/>
      <c r="M97" s="322"/>
      <c r="N97" s="63"/>
    </row>
    <row r="98" spans="2:14" s="27" customFormat="1" ht="18" hidden="1" customHeight="1">
      <c r="B98" s="221" t="s">
        <v>135</v>
      </c>
      <c r="C98" s="218"/>
      <c r="D98" s="315"/>
      <c r="E98" s="218"/>
      <c r="F98" s="218"/>
      <c r="G98" s="218"/>
      <c r="H98" s="218"/>
      <c r="I98" s="218"/>
      <c r="J98" s="315"/>
      <c r="K98" s="136"/>
      <c r="L98" s="216"/>
      <c r="M98" s="322"/>
      <c r="N98" s="63"/>
    </row>
    <row r="99" spans="2:14" s="27" customFormat="1" ht="18" hidden="1" customHeight="1">
      <c r="B99" s="140" t="s">
        <v>136</v>
      </c>
      <c r="C99" s="159">
        <f t="shared" ref="C99:J99" si="58">C$25</f>
        <v>10</v>
      </c>
      <c r="D99" s="301">
        <f t="shared" si="58"/>
        <v>10</v>
      </c>
      <c r="E99" s="159">
        <f t="shared" si="58"/>
        <v>5.1639089432829867E-6</v>
      </c>
      <c r="F99" s="159">
        <f t="shared" si="58"/>
        <v>5.1639089432829867E-6</v>
      </c>
      <c r="G99" s="159">
        <f t="shared" si="58"/>
        <v>5.1639089432829867E-6</v>
      </c>
      <c r="H99" s="159">
        <f t="shared" si="58"/>
        <v>5.1639089432829867E-6</v>
      </c>
      <c r="I99" s="159">
        <f t="shared" si="58"/>
        <v>5.1639089432829867E-6</v>
      </c>
      <c r="J99" s="159">
        <f t="shared" si="58"/>
        <v>5.1639089432829867E-6</v>
      </c>
      <c r="K99" s="136"/>
      <c r="L99" s="216"/>
      <c r="M99" s="322"/>
      <c r="N99" s="63"/>
    </row>
    <row r="100" spans="2:14" s="27" customFormat="1" ht="18" hidden="1" customHeight="1">
      <c r="B100" s="140" t="s">
        <v>137</v>
      </c>
      <c r="C100" s="222">
        <f t="shared" ref="C100:J100" si="59">IF($C$9="X4L",C$99*0.25*2,IF($C$9="X4",C$99*0.25,0))</f>
        <v>0</v>
      </c>
      <c r="D100" s="252">
        <f t="shared" si="59"/>
        <v>0</v>
      </c>
      <c r="E100" s="222">
        <f t="shared" si="59"/>
        <v>0</v>
      </c>
      <c r="F100" s="222">
        <f t="shared" si="59"/>
        <v>0</v>
      </c>
      <c r="G100" s="222">
        <f t="shared" si="59"/>
        <v>0</v>
      </c>
      <c r="H100" s="222">
        <f t="shared" si="59"/>
        <v>0</v>
      </c>
      <c r="I100" s="222">
        <f t="shared" si="59"/>
        <v>0</v>
      </c>
      <c r="J100" s="222">
        <f t="shared" si="59"/>
        <v>0</v>
      </c>
      <c r="K100" s="136"/>
      <c r="L100" s="216"/>
      <c r="M100" s="322"/>
      <c r="N100" s="63"/>
    </row>
    <row r="101" spans="2:14" s="27" customFormat="1" ht="18" hidden="1" customHeight="1">
      <c r="B101" s="140" t="s">
        <v>188</v>
      </c>
      <c r="C101" s="224">
        <f t="shared" ref="C101:J101" si="60">IF($C$9="X4L",300-C$100,IF($C$9="X4",175-C$100,$O$11))</f>
        <v>142</v>
      </c>
      <c r="D101" s="319">
        <f t="shared" si="60"/>
        <v>142</v>
      </c>
      <c r="E101" s="224">
        <f t="shared" si="60"/>
        <v>142</v>
      </c>
      <c r="F101" s="224">
        <f t="shared" si="60"/>
        <v>142</v>
      </c>
      <c r="G101" s="224">
        <f t="shared" si="60"/>
        <v>142</v>
      </c>
      <c r="H101" s="224">
        <f t="shared" si="60"/>
        <v>142</v>
      </c>
      <c r="I101" s="224">
        <f t="shared" si="60"/>
        <v>142</v>
      </c>
      <c r="J101" s="224">
        <f t="shared" si="60"/>
        <v>142</v>
      </c>
      <c r="K101" s="136"/>
      <c r="L101" s="216"/>
      <c r="M101" s="322"/>
      <c r="N101" s="63"/>
    </row>
    <row r="102" spans="2:14" s="27" customFormat="1" ht="18" hidden="1" customHeight="1">
      <c r="B102" s="226" t="s">
        <v>78</v>
      </c>
      <c r="C102" s="227">
        <f t="shared" ref="C102:J102" si="61">IF(OR($C9="X4",$C9="X4L",$C9="X8"),10*LOG10(C$101/C$24),35)</f>
        <v>35</v>
      </c>
      <c r="D102" s="227">
        <f t="shared" si="61"/>
        <v>35</v>
      </c>
      <c r="E102" s="227">
        <f t="shared" si="61"/>
        <v>35</v>
      </c>
      <c r="F102" s="227">
        <f t="shared" si="61"/>
        <v>35</v>
      </c>
      <c r="G102" s="227">
        <f t="shared" si="61"/>
        <v>35</v>
      </c>
      <c r="H102" s="227">
        <f t="shared" si="61"/>
        <v>35</v>
      </c>
      <c r="I102" s="227">
        <f t="shared" si="61"/>
        <v>35</v>
      </c>
      <c r="J102" s="227">
        <f t="shared" si="61"/>
        <v>35</v>
      </c>
      <c r="K102" s="136"/>
      <c r="L102" s="216"/>
      <c r="M102" s="322"/>
      <c r="N102" s="63"/>
    </row>
    <row r="103" spans="2:14" s="27" customFormat="1" ht="15.95" hidden="1" customHeight="1">
      <c r="B103" s="140"/>
      <c r="C103" s="136"/>
      <c r="D103" s="270"/>
      <c r="E103" s="136"/>
      <c r="F103" s="136"/>
      <c r="G103" s="136"/>
      <c r="H103" s="136"/>
      <c r="I103" s="136"/>
      <c r="J103" s="270"/>
      <c r="K103" s="163"/>
      <c r="L103" s="163"/>
      <c r="M103" s="270"/>
    </row>
    <row r="104" spans="2:14" s="27" customFormat="1" ht="15.95" hidden="1" customHeight="1">
      <c r="B104" s="140" t="s">
        <v>139</v>
      </c>
      <c r="C104" s="146">
        <f t="shared" ref="C104:J104" si="62">10*LOG10(C88/C23)</f>
        <v>0</v>
      </c>
      <c r="D104" s="258">
        <f t="shared" si="62"/>
        <v>0</v>
      </c>
      <c r="E104" s="146">
        <f t="shared" si="62"/>
        <v>0</v>
      </c>
      <c r="F104" s="146">
        <f t="shared" si="62"/>
        <v>0</v>
      </c>
      <c r="G104" s="146">
        <f t="shared" si="62"/>
        <v>0</v>
      </c>
      <c r="H104" s="146">
        <f t="shared" si="62"/>
        <v>0</v>
      </c>
      <c r="I104" s="146">
        <f t="shared" si="62"/>
        <v>0</v>
      </c>
      <c r="J104" s="258">
        <f t="shared" si="62"/>
        <v>0</v>
      </c>
      <c r="K104" s="163"/>
      <c r="L104" s="146">
        <f>MIN(C104:J104)</f>
        <v>0</v>
      </c>
      <c r="M104" s="326"/>
      <c r="N104" s="27" t="s">
        <v>140</v>
      </c>
    </row>
    <row r="105" spans="2:14" s="27" customFormat="1" ht="15.95" hidden="1" customHeight="1">
      <c r="B105" s="140" t="s">
        <v>141</v>
      </c>
      <c r="C105" s="231">
        <f t="shared" ref="C105:J105" si="63">10*LOG10(2*C87/C88)</f>
        <v>16.820599913279622</v>
      </c>
      <c r="D105" s="316">
        <f t="shared" si="63"/>
        <v>16.820599913279622</v>
      </c>
      <c r="E105" s="231">
        <f t="shared" si="63"/>
        <v>14</v>
      </c>
      <c r="F105" s="231">
        <f t="shared" si="63"/>
        <v>14</v>
      </c>
      <c r="G105" s="231">
        <f t="shared" si="63"/>
        <v>14</v>
      </c>
      <c r="H105" s="231">
        <f t="shared" si="63"/>
        <v>14</v>
      </c>
      <c r="I105" s="231">
        <f t="shared" si="63"/>
        <v>14</v>
      </c>
      <c r="J105" s="316">
        <f t="shared" si="63"/>
        <v>14</v>
      </c>
      <c r="K105" s="163"/>
      <c r="L105" s="163"/>
      <c r="M105" s="328"/>
      <c r="N105" s="27" t="s">
        <v>142</v>
      </c>
    </row>
    <row r="106" spans="2:14" s="27" customFormat="1" ht="15.95" hidden="1" customHeight="1">
      <c r="B106" s="140" t="s">
        <v>143</v>
      </c>
      <c r="C106" s="231">
        <f t="shared" ref="C106:J106" si="64">C18-C105</f>
        <v>0</v>
      </c>
      <c r="D106" s="316">
        <f t="shared" si="64"/>
        <v>0</v>
      </c>
      <c r="E106" s="231">
        <f t="shared" si="64"/>
        <v>0</v>
      </c>
      <c r="F106" s="231">
        <f t="shared" si="64"/>
        <v>0</v>
      </c>
      <c r="G106" s="231">
        <f t="shared" si="64"/>
        <v>0</v>
      </c>
      <c r="H106" s="231">
        <f t="shared" si="64"/>
        <v>0</v>
      </c>
      <c r="I106" s="231">
        <f t="shared" si="64"/>
        <v>0</v>
      </c>
      <c r="J106" s="316">
        <f t="shared" si="64"/>
        <v>0</v>
      </c>
      <c r="K106" s="163"/>
      <c r="L106" s="163"/>
      <c r="M106" s="328"/>
      <c r="N106" s="27" t="s">
        <v>144</v>
      </c>
    </row>
    <row r="107" spans="2:14" s="27" customFormat="1" ht="15.95" hidden="1" customHeight="1">
      <c r="B107" s="233" t="s">
        <v>145</v>
      </c>
      <c r="C107" s="136"/>
      <c r="D107" s="270"/>
      <c r="E107" s="136"/>
      <c r="F107" s="136"/>
      <c r="G107" s="136"/>
      <c r="H107" s="136"/>
      <c r="I107" s="136"/>
      <c r="J107" s="270"/>
      <c r="K107" s="163"/>
      <c r="L107" s="163"/>
      <c r="M107" s="328"/>
      <c r="N107" s="27" t="s">
        <v>146</v>
      </c>
    </row>
    <row r="108" spans="2:14" s="27" customFormat="1" ht="15.95" hidden="1" customHeight="1">
      <c r="B108" s="234" t="s">
        <v>147</v>
      </c>
      <c r="C108" s="136"/>
      <c r="D108" s="270"/>
      <c r="E108" s="136"/>
      <c r="F108" s="136"/>
      <c r="G108" s="136"/>
      <c r="H108" s="136"/>
      <c r="I108" s="136"/>
      <c r="J108" s="270"/>
      <c r="K108" s="163"/>
      <c r="L108" s="163"/>
      <c r="M108" s="328"/>
    </row>
    <row r="109" spans="2:14" s="27" customFormat="1" ht="15.95" hidden="1" customHeight="1">
      <c r="B109" s="140" t="s">
        <v>148</v>
      </c>
      <c r="C109" s="144">
        <f t="shared" ref="C109:J109" si="65">MIN(C87*1.4,$O15)</f>
        <v>224</v>
      </c>
      <c r="D109" s="296">
        <f t="shared" si="65"/>
        <v>224</v>
      </c>
      <c r="E109" s="144">
        <f t="shared" si="65"/>
        <v>1.3999999999999998E-7</v>
      </c>
      <c r="F109" s="144">
        <f t="shared" si="65"/>
        <v>1.3999999999999998E-7</v>
      </c>
      <c r="G109" s="144">
        <f t="shared" si="65"/>
        <v>1.3999999999999998E-7</v>
      </c>
      <c r="H109" s="144">
        <f t="shared" si="65"/>
        <v>1.3999999999999998E-7</v>
      </c>
      <c r="I109" s="144">
        <f t="shared" si="65"/>
        <v>1.3999999999999998E-7</v>
      </c>
      <c r="J109" s="296">
        <f t="shared" si="65"/>
        <v>1.3999999999999998E-7</v>
      </c>
      <c r="K109" s="148">
        <f>SUM(C109:J109)</f>
        <v>448.00000083999998</v>
      </c>
      <c r="L109" s="146">
        <f>-10*LOG10(K87/K109)</f>
        <v>1.4612803567823782</v>
      </c>
      <c r="M109" s="326"/>
      <c r="N109" s="27" t="s">
        <v>149</v>
      </c>
    </row>
    <row r="110" spans="2:14" s="27" customFormat="1" ht="15.95" hidden="1" customHeight="1">
      <c r="B110" s="140" t="s">
        <v>52</v>
      </c>
      <c r="C110" s="144">
        <f t="shared" ref="C110:J110" si="66">MIN(C88*2,$O13)</f>
        <v>13.308220337642741</v>
      </c>
      <c r="D110" s="296">
        <f t="shared" si="66"/>
        <v>13.308220337642741</v>
      </c>
      <c r="E110" s="144">
        <f t="shared" si="66"/>
        <v>1.5924286822139889E-8</v>
      </c>
      <c r="F110" s="144">
        <f t="shared" si="66"/>
        <v>1.5924286822139889E-8</v>
      </c>
      <c r="G110" s="144">
        <f t="shared" si="66"/>
        <v>1.5924286822139889E-8</v>
      </c>
      <c r="H110" s="144">
        <f t="shared" si="66"/>
        <v>1.5924286822139889E-8</v>
      </c>
      <c r="I110" s="144">
        <f t="shared" si="66"/>
        <v>1.5924286822139889E-8</v>
      </c>
      <c r="J110" s="296">
        <f t="shared" si="66"/>
        <v>1.5924286822139889E-8</v>
      </c>
      <c r="K110" s="148">
        <f>SUM(C110:J110)</f>
        <v>26.616440770831197</v>
      </c>
      <c r="L110" s="146"/>
      <c r="M110" s="326"/>
    </row>
    <row r="111" spans="2:14" s="27" customFormat="1" ht="15.95" hidden="1" customHeight="1">
      <c r="B111" s="140" t="s">
        <v>150</v>
      </c>
      <c r="C111" s="136"/>
      <c r="D111" s="270"/>
      <c r="E111" s="136"/>
      <c r="F111" s="136"/>
      <c r="G111" s="136"/>
      <c r="H111" s="136"/>
      <c r="I111" s="136"/>
      <c r="J111" s="270"/>
      <c r="K111" s="144">
        <f>MIN(K114*1.4,O$12)</f>
        <v>56.531500657107955</v>
      </c>
      <c r="L111" s="163"/>
      <c r="M111" s="328"/>
      <c r="N111" s="71">
        <f>10*LOG10(K88/K110)</f>
        <v>-3.0102999566398121</v>
      </c>
    </row>
    <row r="112" spans="2:14" s="27" customFormat="1" ht="15.95" hidden="1" customHeight="1">
      <c r="B112" s="140" t="s">
        <v>151</v>
      </c>
      <c r="C112" s="235">
        <f t="shared" ref="C112:J112" si="67">IF(C$14="Unused",0,C91*$O20+$O21)</f>
        <v>0.63737776213584085</v>
      </c>
      <c r="D112" s="317">
        <f t="shared" si="67"/>
        <v>0.63737776213584085</v>
      </c>
      <c r="E112" s="235">
        <f t="shared" si="67"/>
        <v>0</v>
      </c>
      <c r="F112" s="235">
        <f t="shared" si="67"/>
        <v>0</v>
      </c>
      <c r="G112" s="235">
        <f t="shared" si="67"/>
        <v>0</v>
      </c>
      <c r="H112" s="235">
        <f t="shared" si="67"/>
        <v>0</v>
      </c>
      <c r="I112" s="235">
        <f t="shared" si="67"/>
        <v>0</v>
      </c>
      <c r="J112" s="317">
        <f t="shared" si="67"/>
        <v>0</v>
      </c>
      <c r="K112" s="235">
        <f>K88/(K114-O23)</f>
        <v>0.63737776442385219</v>
      </c>
      <c r="L112" s="163"/>
      <c r="M112" s="328"/>
    </row>
    <row r="113" spans="2:21" s="27" customFormat="1" ht="15.95" hidden="1" customHeight="1">
      <c r="B113" s="140" t="s">
        <v>152</v>
      </c>
      <c r="C113" s="148">
        <f t="shared" ref="C113:J113" si="68">IF(C$14="Unused",0,C110/C$112+$O$85)</f>
        <v>30.62964332650569</v>
      </c>
      <c r="D113" s="251">
        <f t="shared" si="68"/>
        <v>30.62964332650569</v>
      </c>
      <c r="E113" s="148">
        <f t="shared" si="68"/>
        <v>0</v>
      </c>
      <c r="F113" s="148">
        <f t="shared" si="68"/>
        <v>0</v>
      </c>
      <c r="G113" s="148">
        <f t="shared" si="68"/>
        <v>0</v>
      </c>
      <c r="H113" s="148">
        <f t="shared" si="68"/>
        <v>0</v>
      </c>
      <c r="I113" s="148">
        <f t="shared" si="68"/>
        <v>0</v>
      </c>
      <c r="J113" s="251">
        <f t="shared" si="68"/>
        <v>0</v>
      </c>
      <c r="K113" s="148">
        <f>SUM(C113:J113)</f>
        <v>61.25928665301138</v>
      </c>
      <c r="L113" s="146">
        <f>10*LOG10(O$12/K113)</f>
        <v>3.2003803438372351</v>
      </c>
      <c r="M113" s="326"/>
    </row>
    <row r="114" spans="2:21" s="27" customFormat="1" ht="15.95" hidden="1" customHeight="1">
      <c r="B114" s="140" t="s">
        <v>153</v>
      </c>
      <c r="C114" s="148">
        <f t="shared" ref="C114:J114" si="69">IF(C$14="Unused",0,C88/C$112+$O$85)</f>
        <v>20.189821663252843</v>
      </c>
      <c r="D114" s="251">
        <f t="shared" si="69"/>
        <v>20.189821663252843</v>
      </c>
      <c r="E114" s="148">
        <f t="shared" si="69"/>
        <v>0</v>
      </c>
      <c r="F114" s="148">
        <f t="shared" si="69"/>
        <v>0</v>
      </c>
      <c r="G114" s="148">
        <f t="shared" si="69"/>
        <v>0</v>
      </c>
      <c r="H114" s="148">
        <f t="shared" si="69"/>
        <v>0</v>
      </c>
      <c r="I114" s="148">
        <f t="shared" si="69"/>
        <v>0</v>
      </c>
      <c r="J114" s="251">
        <f t="shared" si="69"/>
        <v>0</v>
      </c>
      <c r="K114" s="148">
        <f>SUM(C114:J114)</f>
        <v>40.379643326505686</v>
      </c>
      <c r="L114" s="146">
        <f>10*LOG10(O$12/K114)</f>
        <v>5.0104749114759164</v>
      </c>
      <c r="M114" s="326"/>
    </row>
    <row r="115" spans="2:21" s="27" customFormat="1" ht="15.95" hidden="1" customHeight="1">
      <c r="B115" s="140" t="s">
        <v>154</v>
      </c>
      <c r="C115" s="136"/>
      <c r="D115" s="270"/>
      <c r="E115" s="136"/>
      <c r="F115" s="136"/>
      <c r="G115" s="136"/>
      <c r="H115" s="136"/>
      <c r="I115" s="136"/>
      <c r="J115" s="270"/>
      <c r="K115" s="237">
        <f>K114/O24/C10</f>
        <v>0.19292710619448489</v>
      </c>
      <c r="L115" s="163"/>
      <c r="M115" s="270"/>
    </row>
    <row r="116" spans="2:21" s="27" customFormat="1" ht="18" hidden="1" customHeight="1">
      <c r="B116" s="140" t="s">
        <v>155</v>
      </c>
      <c r="C116" s="136"/>
      <c r="D116" s="270"/>
      <c r="E116" s="136"/>
      <c r="F116" s="136"/>
      <c r="G116" s="136"/>
      <c r="H116" s="136"/>
      <c r="I116" s="136"/>
      <c r="J116" s="270"/>
      <c r="K116" s="237">
        <f>MIN(MIN(O26,K114)/O24/$C10,O27,$E10)</f>
        <v>0.19292710619448489</v>
      </c>
      <c r="L116" s="146">
        <f>-10*LOG10(K116/O27)</f>
        <v>13.678192636137535</v>
      </c>
      <c r="M116" s="339"/>
      <c r="N116" s="27" t="s">
        <v>156</v>
      </c>
    </row>
    <row r="117" spans="2:21" s="27" customFormat="1" ht="15.95" hidden="1" customHeight="1">
      <c r="B117" s="140" t="s">
        <v>157</v>
      </c>
      <c r="C117" s="148">
        <f t="shared" ref="C117:J117" si="70">((C114-$O85)/($K114-$O23))*($K117-$O23)+$O85</f>
        <v>20.189821663252843</v>
      </c>
      <c r="D117" s="251">
        <f t="shared" si="70"/>
        <v>20.189821663252843</v>
      </c>
      <c r="E117" s="148">
        <f t="shared" si="70"/>
        <v>0</v>
      </c>
      <c r="F117" s="148">
        <f t="shared" si="70"/>
        <v>0</v>
      </c>
      <c r="G117" s="148">
        <f t="shared" si="70"/>
        <v>0</v>
      </c>
      <c r="H117" s="148">
        <f t="shared" si="70"/>
        <v>0</v>
      </c>
      <c r="I117" s="148">
        <f t="shared" si="70"/>
        <v>0</v>
      </c>
      <c r="J117" s="251">
        <f t="shared" si="70"/>
        <v>0</v>
      </c>
      <c r="K117" s="148">
        <f>K116*$C10*O24</f>
        <v>40.379643326505686</v>
      </c>
      <c r="L117" s="163"/>
      <c r="M117" s="339"/>
      <c r="N117" s="27" t="s">
        <v>158</v>
      </c>
    </row>
    <row r="118" spans="2:21" s="27" customFormat="1" ht="15.95" hidden="1" customHeight="1">
      <c r="B118" s="140" t="s">
        <v>159</v>
      </c>
      <c r="C118" s="148">
        <f t="shared" ref="C118:J118" si="71">C22/C23*C119</f>
        <v>159.99999999999997</v>
      </c>
      <c r="D118" s="251">
        <f t="shared" si="71"/>
        <v>159.99999999999997</v>
      </c>
      <c r="E118" s="148">
        <f t="shared" si="71"/>
        <v>0</v>
      </c>
      <c r="F118" s="148">
        <f t="shared" si="71"/>
        <v>0</v>
      </c>
      <c r="G118" s="148">
        <f t="shared" si="71"/>
        <v>0</v>
      </c>
      <c r="H118" s="148">
        <f t="shared" si="71"/>
        <v>0</v>
      </c>
      <c r="I118" s="148">
        <f t="shared" si="71"/>
        <v>0</v>
      </c>
      <c r="J118" s="251">
        <f t="shared" si="71"/>
        <v>0</v>
      </c>
      <c r="K118" s="148">
        <f>SUM($C118:J118)</f>
        <v>319.99999999999994</v>
      </c>
      <c r="L118" s="163"/>
      <c r="M118" s="326"/>
    </row>
    <row r="119" spans="2:21" s="27" customFormat="1" ht="15.95" hidden="1" customHeight="1">
      <c r="B119" s="140" t="s">
        <v>160</v>
      </c>
      <c r="C119" s="148">
        <f t="shared" ref="C119:J119" si="72">(C117-$O85)*C112</f>
        <v>6.6541101688213686</v>
      </c>
      <c r="D119" s="251">
        <f t="shared" si="72"/>
        <v>6.6541101688213686</v>
      </c>
      <c r="E119" s="148">
        <f t="shared" si="72"/>
        <v>0</v>
      </c>
      <c r="F119" s="148">
        <f t="shared" si="72"/>
        <v>0</v>
      </c>
      <c r="G119" s="148">
        <f t="shared" si="72"/>
        <v>0</v>
      </c>
      <c r="H119" s="148">
        <f t="shared" si="72"/>
        <v>0</v>
      </c>
      <c r="I119" s="148">
        <f t="shared" si="72"/>
        <v>0</v>
      </c>
      <c r="J119" s="251">
        <f t="shared" si="72"/>
        <v>0</v>
      </c>
      <c r="K119" s="148">
        <f>SUM($C119:J119)</f>
        <v>13.308220337642737</v>
      </c>
      <c r="L119" s="163"/>
      <c r="M119" s="326"/>
      <c r="N119" s="27" t="s">
        <v>161</v>
      </c>
      <c r="P119" s="28">
        <v>500</v>
      </c>
      <c r="Q119" s="28">
        <v>1000</v>
      </c>
      <c r="R119" s="28">
        <v>1500</v>
      </c>
      <c r="S119" s="28">
        <v>1500</v>
      </c>
      <c r="T119" s="28"/>
      <c r="U119" s="28"/>
    </row>
    <row r="120" spans="2:21" s="27" customFormat="1" ht="15.95" hidden="1" customHeight="1">
      <c r="B120" s="239" t="s">
        <v>162</v>
      </c>
      <c r="C120" s="231">
        <f>C121-C122</f>
        <v>9.6432746655328714E-16</v>
      </c>
      <c r="D120" s="316">
        <f t="shared" ref="D120:J120" si="73">D121-D122</f>
        <v>9.6432746655328714E-16</v>
      </c>
      <c r="E120" s="231">
        <f t="shared" si="73"/>
        <v>0</v>
      </c>
      <c r="F120" s="231">
        <f t="shared" si="73"/>
        <v>0</v>
      </c>
      <c r="G120" s="231">
        <f t="shared" si="73"/>
        <v>0</v>
      </c>
      <c r="H120" s="231">
        <f t="shared" si="73"/>
        <v>0</v>
      </c>
      <c r="I120" s="231">
        <f t="shared" si="73"/>
        <v>0</v>
      </c>
      <c r="J120" s="316">
        <f t="shared" si="73"/>
        <v>0</v>
      </c>
      <c r="K120" s="231">
        <f>MAX($C120:F120)</f>
        <v>9.6432746655328714E-16</v>
      </c>
      <c r="L120" s="163"/>
      <c r="M120" s="328"/>
      <c r="P120" s="28"/>
      <c r="Q120" s="28"/>
      <c r="R120" s="28"/>
      <c r="S120" s="28"/>
      <c r="T120" s="28"/>
      <c r="U120" s="28"/>
    </row>
    <row r="121" spans="2:21" s="27" customFormat="1" ht="18" hidden="1" customHeight="1">
      <c r="B121" s="140" t="s">
        <v>163</v>
      </c>
      <c r="C121" s="146">
        <f t="shared" ref="C121:J121" si="74">10*LOG10(C87/C22)</f>
        <v>0</v>
      </c>
      <c r="D121" s="258">
        <f t="shared" si="74"/>
        <v>0</v>
      </c>
      <c r="E121" s="146">
        <f t="shared" si="74"/>
        <v>0</v>
      </c>
      <c r="F121" s="146">
        <f t="shared" si="74"/>
        <v>0</v>
      </c>
      <c r="G121" s="146">
        <f t="shared" si="74"/>
        <v>0</v>
      </c>
      <c r="H121" s="146">
        <f t="shared" si="74"/>
        <v>0</v>
      </c>
      <c r="I121" s="146">
        <f t="shared" si="74"/>
        <v>0</v>
      </c>
      <c r="J121" s="258">
        <f t="shared" si="74"/>
        <v>0</v>
      </c>
      <c r="K121" s="146">
        <f>MIN(C121:J121)</f>
        <v>0</v>
      </c>
      <c r="L121" s="146"/>
      <c r="M121" s="328"/>
      <c r="N121" s="27" t="s">
        <v>164</v>
      </c>
    </row>
    <row r="122" spans="2:21" s="27" customFormat="1" ht="18" hidden="1" customHeight="1">
      <c r="B122" s="140" t="s">
        <v>165</v>
      </c>
      <c r="C122" s="146">
        <f t="shared" ref="C122:J122" si="75">IF(C$14="Unused",0,10*LOG10(C119/C23))</f>
        <v>-9.6432746655328714E-16</v>
      </c>
      <c r="D122" s="258">
        <f t="shared" si="75"/>
        <v>-9.6432746655328714E-16</v>
      </c>
      <c r="E122" s="146">
        <f t="shared" si="75"/>
        <v>0</v>
      </c>
      <c r="F122" s="146">
        <f t="shared" si="75"/>
        <v>0</v>
      </c>
      <c r="G122" s="146">
        <f t="shared" si="75"/>
        <v>0</v>
      </c>
      <c r="H122" s="146">
        <f t="shared" si="75"/>
        <v>0</v>
      </c>
      <c r="I122" s="146">
        <f t="shared" si="75"/>
        <v>0</v>
      </c>
      <c r="J122" s="258">
        <f t="shared" si="75"/>
        <v>0</v>
      </c>
      <c r="K122" s="146">
        <f>10*LOG10(K119/K23)</f>
        <v>-1.5589980827415571E-8</v>
      </c>
      <c r="L122" s="163"/>
      <c r="M122" s="326"/>
      <c r="N122" s="27" t="s">
        <v>166</v>
      </c>
    </row>
    <row r="123" spans="2:21" s="27" customFormat="1" ht="18" customHeight="1" thickBot="1">
      <c r="B123" s="166" t="s">
        <v>78</v>
      </c>
      <c r="C123" s="318">
        <f>IF(C$14="70V",MIN($K$53,C$53),IF(C$14="100V",MIN($K$54,C$54),IF(C$14="Unused","Unused",IF(C$14="Lo-Z",MIN(20*LOG10(MAX($O9,$O17)/C24),20*LOG10(1/MAX(C$41/$O11,C$42/$O10)),10*LOG10($O8/C$40),$L$22,C$102,IF(C121&lt;-0.01,C121,32),IF(C122&lt;-0.01,C122,32)),MIN(20*LOG10(1/(C$42/$O10)),10*LOG10($O8/C$40),$L$22,IF(C121&lt;-0.01,C121,32),IF(C122&lt;-0.01,C122,32))))))</f>
        <v>2.7300127124943527</v>
      </c>
      <c r="D123" s="318">
        <f>IF(D$14="70V",MIN($K$53,D$53),IF(D$14="100V",MIN($K$54,D$54),IF(D$14="Unused","Unused",IF(D$14="Lo-Z",MIN(20*LOG10(MAX($O9,$O17)/D24),20*LOG10(1/MAX(D$41/$O11,D$42/$O10)),10*LOG10($O8/D$40),$L$22,D$102,IF(D121&lt;-0.01,D121,32),IF(D122&lt;-0.01,D122,32)),MIN(20*LOG10(1/(D$42/$O10)),10*LOG10($O8/D$40),$L$22,IF(D121&lt;-0.01,D121,32),IF(D122&lt;-0.01,D122,32))))))</f>
        <v>2.7300127124943527</v>
      </c>
      <c r="E123" s="318" t="str">
        <f t="shared" ref="E123:J123" si="76">IF(E$14="Unused","Unused",IF(E$14="Lo-Z",MIN(20*LOG10(MAX($O9,$O17)/E24),20*LOG10(1/MAX(E$41/$O11,E$42/$O10)),10*LOG10($O8/E$40),$L$22,E$102,IF(E121&lt;-0.01,E121,32),IF(E122&lt;-0.01,E122,32)),MIN(20*LOG10(1/(E$42/$O10)),10*LOG10($O8/E$40),$L$22,IF(E121&lt;-0.01,E121,32),IF(E122&lt;-0.01,E122,32))))</f>
        <v>Unused</v>
      </c>
      <c r="F123" s="318" t="str">
        <f t="shared" si="76"/>
        <v>Unused</v>
      </c>
      <c r="G123" s="318" t="str">
        <f t="shared" si="76"/>
        <v>Unused</v>
      </c>
      <c r="H123" s="318" t="str">
        <f t="shared" si="76"/>
        <v>Unused</v>
      </c>
      <c r="I123" s="318" t="str">
        <f t="shared" si="76"/>
        <v>Unused</v>
      </c>
      <c r="J123" s="318" t="str">
        <f t="shared" si="76"/>
        <v>Unused</v>
      </c>
      <c r="K123" s="163"/>
      <c r="L123" s="146">
        <f>MIN(C123:F123,L114,L116,L40,L45)</f>
        <v>2.7300127124943527</v>
      </c>
      <c r="M123" s="407" t="str">
        <f>IF(K121&gt;3,CONCATENATE("The capacity to sustain the crest factor is challenged. While individual beats ",IF(K122&gt;-0.01,"can ","may "),"reach the desired peak level, there is an obvious risk that the SPL of the beats will vary over time."),"")</f>
        <v/>
      </c>
    </row>
    <row r="124" spans="2:21" s="27" customFormat="1" ht="18" hidden="1" customHeight="1">
      <c r="B124" s="140" t="s">
        <v>167</v>
      </c>
      <c r="C124" s="136"/>
      <c r="D124" s="136"/>
      <c r="E124" s="136"/>
      <c r="F124" s="136"/>
      <c r="G124" s="136"/>
      <c r="H124" s="136"/>
      <c r="I124" s="136"/>
      <c r="J124" s="136"/>
      <c r="K124" s="240">
        <f>K117-K119</f>
        <v>27.071422988862949</v>
      </c>
      <c r="L124" s="163"/>
      <c r="M124" s="407"/>
      <c r="N124" s="27" t="s">
        <v>168</v>
      </c>
      <c r="Q124" s="28">
        <v>1425</v>
      </c>
      <c r="R124" s="28">
        <v>2075</v>
      </c>
      <c r="S124" s="28">
        <v>2075</v>
      </c>
      <c r="T124" s="28"/>
      <c r="U124" s="28"/>
    </row>
    <row r="125" spans="2:21" s="27" customFormat="1" ht="18" hidden="1" customHeight="1" thickBot="1">
      <c r="B125" s="166" t="s">
        <v>166</v>
      </c>
      <c r="C125" s="241"/>
      <c r="D125" s="241"/>
      <c r="E125" s="241"/>
      <c r="F125" s="241"/>
      <c r="G125" s="241"/>
      <c r="H125" s="241"/>
      <c r="I125" s="241"/>
      <c r="J125" s="241"/>
      <c r="K125" s="242">
        <f>3.412*K124</f>
        <v>92.36769523800038</v>
      </c>
      <c r="L125" s="243"/>
      <c r="M125" s="340"/>
      <c r="N125" s="27" t="s">
        <v>169</v>
      </c>
      <c r="Q125" s="70">
        <f>Q119/(Q124-Q40)</f>
        <v>0.70175438596491224</v>
      </c>
      <c r="R125" s="70">
        <f>R119/(R124-R40)</f>
        <v>0.72289156626506024</v>
      </c>
      <c r="S125" s="70">
        <f>S119/(S124-S40)</f>
        <v>0.72289156626506024</v>
      </c>
      <c r="T125" s="70"/>
      <c r="U125" s="70"/>
    </row>
    <row r="126" spans="2:21" hidden="1">
      <c r="B126" s="286"/>
      <c r="C126" s="194"/>
      <c r="D126" s="194"/>
      <c r="E126" s="194"/>
      <c r="F126" s="194"/>
      <c r="G126" s="194"/>
      <c r="H126" s="194"/>
      <c r="I126" s="194"/>
      <c r="J126" s="194"/>
      <c r="K126" s="196"/>
      <c r="L126" s="196"/>
      <c r="M126" s="341"/>
    </row>
    <row r="127" spans="2:21" ht="15.95" hidden="1" customHeight="1">
      <c r="B127" s="286" t="s">
        <v>170</v>
      </c>
      <c r="C127" s="194"/>
      <c r="D127" s="194"/>
      <c r="E127" s="194"/>
      <c r="F127" s="194"/>
      <c r="G127" s="194"/>
      <c r="H127" s="194"/>
      <c r="I127" s="194"/>
      <c r="J127" s="194"/>
      <c r="K127" s="247">
        <f>K116*C10</f>
        <v>44.373234424731521</v>
      </c>
      <c r="L127" s="196"/>
      <c r="M127" s="341"/>
    </row>
    <row r="128" spans="2:21" ht="15.95" hidden="1" customHeight="1" thickBot="1">
      <c r="B128" s="286"/>
      <c r="C128" s="194"/>
      <c r="D128" s="194"/>
      <c r="E128" s="194"/>
      <c r="F128" s="194"/>
      <c r="G128" s="194"/>
      <c r="H128" s="194"/>
      <c r="I128" s="194"/>
      <c r="J128" s="194"/>
      <c r="K128" s="248">
        <f>K117/K127</f>
        <v>0.91</v>
      </c>
      <c r="L128" s="196"/>
      <c r="M128" s="341"/>
    </row>
    <row r="129" spans="2:27" s="27" customFormat="1" ht="15.95" customHeight="1">
      <c r="B129" s="135" t="s">
        <v>171</v>
      </c>
      <c r="C129" s="249"/>
      <c r="D129" s="250"/>
      <c r="E129" s="249"/>
      <c r="F129" s="249"/>
      <c r="G129" s="249"/>
      <c r="H129" s="249"/>
      <c r="I129" s="249"/>
      <c r="J129" s="250"/>
      <c r="K129" s="148"/>
      <c r="L129" s="146"/>
      <c r="M129" s="326"/>
    </row>
    <row r="130" spans="2:27" s="27" customFormat="1" ht="15.95" customHeight="1">
      <c r="B130" s="140"/>
      <c r="C130" s="148"/>
      <c r="D130" s="251"/>
      <c r="E130" s="148"/>
      <c r="F130" s="148"/>
      <c r="G130" s="148"/>
      <c r="H130" s="148"/>
      <c r="I130" s="148"/>
      <c r="J130" s="251"/>
      <c r="K130" s="148"/>
      <c r="L130" s="146"/>
      <c r="M130" s="147" t="s">
        <v>172</v>
      </c>
    </row>
    <row r="131" spans="2:27" s="27" customFormat="1" ht="15.95" customHeight="1">
      <c r="B131" s="140" t="s">
        <v>173</v>
      </c>
      <c r="C131" s="222">
        <f>IF(C$14="Lo-Z",C$24*1.05,C$24)</f>
        <v>37.56594202199647</v>
      </c>
      <c r="D131" s="252">
        <f>IF(D$14="Lo-Z",D$24*1.05,D$24)</f>
        <v>37.56594202199647</v>
      </c>
      <c r="E131" s="224">
        <f t="shared" ref="E131:J131" si="77">IF($C14="Lo-Z",E$24*1.05,E$24)</f>
        <v>4.6957427527495585E-2</v>
      </c>
      <c r="F131" s="224">
        <f t="shared" si="77"/>
        <v>4.6957427527495585E-2</v>
      </c>
      <c r="G131" s="224">
        <f t="shared" si="77"/>
        <v>4.6957427527495585E-2</v>
      </c>
      <c r="H131" s="224">
        <f t="shared" si="77"/>
        <v>4.6957427527495585E-2</v>
      </c>
      <c r="I131" s="224">
        <f t="shared" si="77"/>
        <v>4.6957427527495585E-2</v>
      </c>
      <c r="J131" s="319">
        <f t="shared" si="77"/>
        <v>4.6957427527495585E-2</v>
      </c>
      <c r="K131" s="148"/>
      <c r="L131" s="146"/>
      <c r="M131" s="326"/>
    </row>
    <row r="132" spans="2:27" s="27" customFormat="1" ht="15.95" customHeight="1">
      <c r="B132" s="253"/>
      <c r="C132" s="254"/>
      <c r="D132" s="255"/>
      <c r="E132" s="254"/>
      <c r="F132" s="254"/>
      <c r="G132" s="254"/>
      <c r="H132" s="254"/>
      <c r="I132" s="254"/>
      <c r="J132" s="255"/>
      <c r="K132" s="148"/>
      <c r="L132" s="146"/>
      <c r="M132" s="326"/>
    </row>
    <row r="133" spans="2:27" s="27" customFormat="1" ht="15.95" customHeight="1">
      <c r="B133" s="140" t="s">
        <v>129</v>
      </c>
      <c r="C133" s="222">
        <f t="shared" ref="C133:J133" si="78">C$24*0.8</f>
        <v>28.621670111997311</v>
      </c>
      <c r="D133" s="252">
        <f t="shared" si="78"/>
        <v>28.621670111997311</v>
      </c>
      <c r="E133" s="224">
        <f t="shared" si="78"/>
        <v>3.5777087639996638E-2</v>
      </c>
      <c r="F133" s="224">
        <f t="shared" si="78"/>
        <v>3.5777087639996638E-2</v>
      </c>
      <c r="G133" s="224">
        <f t="shared" si="78"/>
        <v>3.5777087639996638E-2</v>
      </c>
      <c r="H133" s="224">
        <f t="shared" si="78"/>
        <v>3.5777087639996638E-2</v>
      </c>
      <c r="I133" s="224">
        <f t="shared" si="78"/>
        <v>3.5777087639996638E-2</v>
      </c>
      <c r="J133" s="319">
        <f t="shared" si="78"/>
        <v>3.5777087639996638E-2</v>
      </c>
      <c r="K133" s="154"/>
      <c r="L133" s="136"/>
      <c r="M133" s="338" t="str">
        <f>IF(K164&lt;-0.01,"A peak limiter setting above this level may lead to undesireable artefacts in percussive sounds","")</f>
        <v/>
      </c>
      <c r="AA133" s="62">
        <f>IF(C$50&lt;1,0,C57)+IF(D$50&lt;1,0,D57)+IF(E$50&lt;1,0,E57)+IF(F$50&lt;1,0,F57)</f>
        <v>0</v>
      </c>
    </row>
    <row r="134" spans="2:27" s="27" customFormat="1" ht="15.95" customHeight="1">
      <c r="B134" s="140" t="s">
        <v>174</v>
      </c>
      <c r="C134" s="154" t="str">
        <f>VLOOKUP(C$17,$W20:$AA24,2,FALSE)</f>
        <v>2 - 8 ms</v>
      </c>
      <c r="D134" s="256" t="str">
        <f>VLOOKUP(D$17,$W20:$AA24,2,FALSE)</f>
        <v>2 - 8 ms</v>
      </c>
      <c r="E134" s="154" t="str">
        <f t="shared" ref="E134:J134" si="79">VLOOKUP($C17,$W20:$AA24,2,FALSE)</f>
        <v>2 - 8 ms</v>
      </c>
      <c r="F134" s="154" t="str">
        <f t="shared" si="79"/>
        <v>2 - 8 ms</v>
      </c>
      <c r="G134" s="154" t="str">
        <f t="shared" si="79"/>
        <v>2 - 8 ms</v>
      </c>
      <c r="H134" s="154" t="str">
        <f t="shared" si="79"/>
        <v>2 - 8 ms</v>
      </c>
      <c r="I134" s="154" t="str">
        <f t="shared" si="79"/>
        <v>2 - 8 ms</v>
      </c>
      <c r="J134" s="256" t="str">
        <f t="shared" si="79"/>
        <v>2 - 8 ms</v>
      </c>
      <c r="K134" s="154"/>
      <c r="L134" s="136"/>
      <c r="M134" s="338"/>
      <c r="AA134" s="62"/>
    </row>
    <row r="135" spans="2:27" s="27" customFormat="1" ht="15.95" customHeight="1">
      <c r="B135" s="140" t="s">
        <v>175</v>
      </c>
      <c r="C135" s="154" t="str">
        <f>VLOOKUP(C$17,$W20:$AA24,3,FALSE)</f>
        <v>16 - 64 ms</v>
      </c>
      <c r="D135" s="256" t="str">
        <f>VLOOKUP(D$17,$W20:$AA24,3,FALSE)</f>
        <v>16 - 64 ms</v>
      </c>
      <c r="E135" s="154" t="str">
        <f t="shared" ref="E135:J135" si="80">VLOOKUP($C17,$W20:$AA24,3,FALSE)</f>
        <v>16 - 64 ms</v>
      </c>
      <c r="F135" s="154" t="str">
        <f t="shared" si="80"/>
        <v>16 - 64 ms</v>
      </c>
      <c r="G135" s="154" t="str">
        <f t="shared" si="80"/>
        <v>16 - 64 ms</v>
      </c>
      <c r="H135" s="154" t="str">
        <f t="shared" si="80"/>
        <v>16 - 64 ms</v>
      </c>
      <c r="I135" s="154" t="str">
        <f t="shared" si="80"/>
        <v>16 - 64 ms</v>
      </c>
      <c r="J135" s="256" t="str">
        <f t="shared" si="80"/>
        <v>16 - 64 ms</v>
      </c>
      <c r="K135" s="154"/>
      <c r="L135" s="136"/>
      <c r="M135" s="338"/>
      <c r="AA135" s="62"/>
    </row>
    <row r="136" spans="2:27" s="27" customFormat="1" ht="15.95" customHeight="1">
      <c r="B136" s="253"/>
      <c r="C136" s="254"/>
      <c r="D136" s="255"/>
      <c r="E136" s="254"/>
      <c r="F136" s="254"/>
      <c r="G136" s="254"/>
      <c r="H136" s="254"/>
      <c r="I136" s="254"/>
      <c r="J136" s="255"/>
      <c r="K136" s="154"/>
      <c r="L136" s="136"/>
      <c r="M136" s="338"/>
      <c r="AA136" s="62"/>
    </row>
    <row r="137" spans="2:27">
      <c r="B137" s="140" t="s">
        <v>130</v>
      </c>
      <c r="C137" s="222">
        <f>SQRT(C$22/2*C$26)*VLOOKUP(C$17,$W12:$AA16,5,FALSE)</f>
        <v>10.733126291998991</v>
      </c>
      <c r="D137" s="252">
        <f>SQRT(D$22/2*D$26)*VLOOKUP(D$17,$W12:$AA16,5,FALSE)</f>
        <v>10.733126291998991</v>
      </c>
      <c r="E137" s="224">
        <f t="shared" ref="E137:J137" si="81">SQRT(E$22/2*E$26)*VLOOKUP($C17,$W12:$AA16,5,FALSE)</f>
        <v>1.3416407864998738E-2</v>
      </c>
      <c r="F137" s="224">
        <f t="shared" si="81"/>
        <v>1.3416407864998738E-2</v>
      </c>
      <c r="G137" s="224">
        <f t="shared" si="81"/>
        <v>1.3416407864998738E-2</v>
      </c>
      <c r="H137" s="224">
        <f t="shared" si="81"/>
        <v>1.3416407864998738E-2</v>
      </c>
      <c r="I137" s="224">
        <f t="shared" si="81"/>
        <v>1.3416407864998738E-2</v>
      </c>
      <c r="J137" s="319">
        <f t="shared" si="81"/>
        <v>1.3416407864998738E-2</v>
      </c>
      <c r="K137" s="196"/>
      <c r="L137" s="196"/>
      <c r="M137" s="338" t="str">
        <f>IF(K165&lt;-0.01,"An rms limiter setting above this level may lead to undesireable pumping effects","")</f>
        <v/>
      </c>
    </row>
    <row r="138" spans="2:27" s="27" customFormat="1" ht="15.95" hidden="1" customHeight="1">
      <c r="B138" s="257" t="s">
        <v>131</v>
      </c>
      <c r="C138" s="146" t="e">
        <f t="shared" ref="C138:J138" si="82">-INDEX($AH$12:$AH$16,MATCH(C$17,$AF$12:$AF$16,0),1)</f>
        <v>#N/A</v>
      </c>
      <c r="D138" s="258" t="e">
        <f t="shared" si="82"/>
        <v>#N/A</v>
      </c>
      <c r="E138" s="146" t="e">
        <f t="shared" si="82"/>
        <v>#N/A</v>
      </c>
      <c r="F138" s="146" t="e">
        <f t="shared" si="82"/>
        <v>#N/A</v>
      </c>
      <c r="G138" s="146" t="e">
        <f t="shared" si="82"/>
        <v>#N/A</v>
      </c>
      <c r="H138" s="146" t="e">
        <f t="shared" si="82"/>
        <v>#N/A</v>
      </c>
      <c r="I138" s="146" t="e">
        <f t="shared" si="82"/>
        <v>#N/A</v>
      </c>
      <c r="J138" s="258" t="e">
        <f t="shared" si="82"/>
        <v>#N/A</v>
      </c>
      <c r="K138" s="205"/>
      <c r="L138" s="136"/>
      <c r="M138" s="338"/>
      <c r="AA138" s="62"/>
    </row>
    <row r="139" spans="2:27" s="27" customFormat="1" hidden="1">
      <c r="B139" s="259" t="s">
        <v>132</v>
      </c>
      <c r="C139" s="146" t="e">
        <f>C53+C138</f>
        <v>#VALUE!</v>
      </c>
      <c r="D139" s="258" t="e">
        <f>D53+D138</f>
        <v>#VALUE!</v>
      </c>
      <c r="E139" s="146" t="e">
        <f t="shared" ref="E139:J139" si="83">E53+E138</f>
        <v>#N/A</v>
      </c>
      <c r="F139" s="146" t="e">
        <f t="shared" si="83"/>
        <v>#N/A</v>
      </c>
      <c r="G139" s="146" t="e">
        <f t="shared" si="83"/>
        <v>#N/A</v>
      </c>
      <c r="H139" s="146" t="e">
        <f t="shared" si="83"/>
        <v>#N/A</v>
      </c>
      <c r="I139" s="146" t="e">
        <f t="shared" si="83"/>
        <v>#N/A</v>
      </c>
      <c r="J139" s="258" t="e">
        <f t="shared" si="83"/>
        <v>#N/A</v>
      </c>
      <c r="K139" s="205"/>
      <c r="L139" s="136"/>
      <c r="M139" s="338"/>
      <c r="AA139" s="62"/>
    </row>
    <row r="140" spans="2:27" s="27" customFormat="1" ht="15.95" hidden="1" customHeight="1">
      <c r="B140" s="202" t="s">
        <v>133</v>
      </c>
      <c r="C140" s="260">
        <f t="shared" ref="C140:J140" si="84">C79*C$50</f>
        <v>0</v>
      </c>
      <c r="D140" s="261">
        <f t="shared" si="84"/>
        <v>0</v>
      </c>
      <c r="E140" s="260">
        <f t="shared" si="84"/>
        <v>0</v>
      </c>
      <c r="F140" s="260">
        <f t="shared" si="84"/>
        <v>0</v>
      </c>
      <c r="G140" s="260">
        <f t="shared" si="84"/>
        <v>0</v>
      </c>
      <c r="H140" s="260">
        <f t="shared" si="84"/>
        <v>0</v>
      </c>
      <c r="I140" s="260">
        <f t="shared" si="84"/>
        <v>0</v>
      </c>
      <c r="J140" s="261">
        <f t="shared" si="84"/>
        <v>0</v>
      </c>
      <c r="K140" s="163"/>
      <c r="L140" s="216" t="e">
        <f>(MIN(M133,AA140)+AA160)/AA160</f>
        <v>#DIV/0!</v>
      </c>
      <c r="M140" s="320"/>
      <c r="AA140" s="63">
        <f>AA133-AA160</f>
        <v>0</v>
      </c>
    </row>
    <row r="141" spans="2:27" s="27" customFormat="1" ht="15.95" customHeight="1">
      <c r="B141" s="140" t="s">
        <v>174</v>
      </c>
      <c r="C141" s="260" t="str">
        <f>VLOOKUP(C$17,$W20:$AA24,4,FALSE)</f>
        <v>0,3 - 0,8 sec</v>
      </c>
      <c r="D141" s="261" t="str">
        <f>VLOOKUP(D$17,$W20:$AA24,4,FALSE)</f>
        <v>0,3 - 0,8 sec</v>
      </c>
      <c r="E141" s="260" t="str">
        <f t="shared" ref="E141:J141" si="85">VLOOKUP($C17,$W20:$AA24,4,FALSE)</f>
        <v>0,3 - 0,8 sec</v>
      </c>
      <c r="F141" s="260" t="str">
        <f t="shared" si="85"/>
        <v>0,3 - 0,8 sec</v>
      </c>
      <c r="G141" s="260" t="str">
        <f t="shared" si="85"/>
        <v>0,3 - 0,8 sec</v>
      </c>
      <c r="H141" s="260" t="str">
        <f t="shared" si="85"/>
        <v>0,3 - 0,8 sec</v>
      </c>
      <c r="I141" s="260" t="str">
        <f t="shared" si="85"/>
        <v>0,3 - 0,8 sec</v>
      </c>
      <c r="J141" s="261" t="str">
        <f t="shared" si="85"/>
        <v>0,3 - 0,8 sec</v>
      </c>
      <c r="K141" s="163"/>
      <c r="L141" s="216"/>
      <c r="M141" s="320"/>
      <c r="AA141" s="63"/>
    </row>
    <row r="142" spans="2:27" s="27" customFormat="1" ht="15.95" customHeight="1" thickBot="1">
      <c r="B142" s="166" t="s">
        <v>175</v>
      </c>
      <c r="C142" s="262" t="str">
        <f>VLOOKUP(C$17,$W20:$AA24,5,FALSE)</f>
        <v>0,5 - 2 sec</v>
      </c>
      <c r="D142" s="263" t="str">
        <f>VLOOKUP(D$17,$W20:$AA24,5,FALSE)</f>
        <v>0,5 - 2 sec</v>
      </c>
      <c r="E142" s="262" t="str">
        <f t="shared" ref="E142:J142" si="86">VLOOKUP($C17,$W20:$AA24,5,FALSE)</f>
        <v>0,5 - 2 sec</v>
      </c>
      <c r="F142" s="262" t="str">
        <f t="shared" si="86"/>
        <v>0,5 - 2 sec</v>
      </c>
      <c r="G142" s="262" t="str">
        <f t="shared" si="86"/>
        <v>0,5 - 2 sec</v>
      </c>
      <c r="H142" s="262" t="str">
        <f t="shared" si="86"/>
        <v>0,5 - 2 sec</v>
      </c>
      <c r="I142" s="262" t="str">
        <f t="shared" si="86"/>
        <v>0,5 - 2 sec</v>
      </c>
      <c r="J142" s="263" t="str">
        <f t="shared" si="86"/>
        <v>0,5 - 2 sec</v>
      </c>
      <c r="K142" s="243"/>
      <c r="L142" s="342"/>
      <c r="M142" s="343"/>
      <c r="AA142" s="63"/>
    </row>
    <row r="143" spans="2:27" s="27" customFormat="1" ht="15.95" customHeight="1">
      <c r="B143" s="136"/>
      <c r="C143" s="260"/>
      <c r="D143" s="260"/>
      <c r="E143" s="260"/>
      <c r="F143" s="260"/>
      <c r="G143" s="260"/>
      <c r="H143" s="260"/>
      <c r="I143" s="260"/>
      <c r="J143" s="260"/>
      <c r="K143" s="163"/>
      <c r="L143" s="216"/>
      <c r="M143" s="351"/>
      <c r="AA143" s="63"/>
    </row>
    <row r="144" spans="2:27" s="27" customFormat="1" ht="18" customHeight="1">
      <c r="B144" s="136" t="str">
        <f>IF(LEN($C44)&gt;5,"Set switches to","")</f>
        <v/>
      </c>
      <c r="C144" s="218" t="str">
        <f>IF(LEN($B144)&lt;1,"",IF(C49=$G37,IF(C133&lt;$O44,"Lo-Z",IF(C133&gt;100,$G38,$G39)),C49))</f>
        <v/>
      </c>
      <c r="D144" s="218" t="str">
        <f>IF(LEN($B144)&lt;1,"",IF(D49=$G37,IF(D133&lt;$O44,"Lo-Z",IF(D133&gt;100,$G38,$G39)),D49))</f>
        <v/>
      </c>
      <c r="E144" s="218" t="str">
        <f>IF(LEN($B144)&lt;1,"",IF(E49=$G37,IF(E133&lt;$O44,"Lo-Z",IF(E133&gt;100,$G38,$G39)),E49))</f>
        <v/>
      </c>
      <c r="F144" s="218" t="str">
        <f>IF(LEN($B144)&lt;1,"",IF(F49=$G37,IF(F133&lt;$O44,"Lo-Z",IF(F133&gt;100,$G38,$G39)),F49))</f>
        <v/>
      </c>
      <c r="G144" s="218"/>
      <c r="H144" s="218"/>
      <c r="I144" s="218"/>
      <c r="J144" s="218"/>
      <c r="K144" s="136"/>
      <c r="L144" s="321"/>
      <c r="M144" s="352"/>
      <c r="AA144" s="63"/>
    </row>
    <row r="145" spans="3:13">
      <c r="C145" s="194"/>
      <c r="D145" s="194"/>
      <c r="E145" s="194"/>
      <c r="F145" s="194"/>
      <c r="G145" s="194"/>
      <c r="H145" s="194"/>
      <c r="I145" s="194"/>
      <c r="J145" s="194"/>
      <c r="K145" s="196"/>
      <c r="L145" s="196"/>
      <c r="M145" s="194"/>
    </row>
    <row r="146" spans="3:13">
      <c r="C146" s="194"/>
      <c r="D146" s="194"/>
      <c r="E146" s="194"/>
      <c r="F146" s="194"/>
      <c r="G146" s="194"/>
      <c r="H146" s="194"/>
      <c r="I146" s="194"/>
      <c r="J146" s="194"/>
      <c r="K146" s="196"/>
      <c r="L146" s="196"/>
      <c r="M146" s="194"/>
    </row>
    <row r="147" spans="3:13">
      <c r="C147" s="194"/>
      <c r="D147" s="194"/>
      <c r="E147" s="194"/>
      <c r="F147" s="194"/>
      <c r="G147" s="194"/>
      <c r="H147" s="194"/>
      <c r="I147" s="194"/>
      <c r="J147" s="194"/>
      <c r="K147" s="196"/>
      <c r="L147" s="196"/>
      <c r="M147" s="194"/>
    </row>
    <row r="148" spans="3:13">
      <c r="C148" s="194"/>
      <c r="D148" s="194"/>
      <c r="E148" s="194"/>
      <c r="F148" s="194"/>
      <c r="G148" s="194"/>
      <c r="H148" s="194"/>
      <c r="I148" s="194"/>
      <c r="J148" s="194"/>
      <c r="K148" s="196"/>
      <c r="L148" s="196"/>
      <c r="M148" s="194"/>
    </row>
    <row r="149" spans="3:13">
      <c r="C149" s="194"/>
      <c r="D149" s="194"/>
      <c r="E149" s="194"/>
      <c r="F149" s="194"/>
      <c r="G149" s="194"/>
      <c r="H149" s="194"/>
      <c r="I149" s="194"/>
      <c r="J149" s="194"/>
      <c r="K149" s="196"/>
      <c r="L149" s="196"/>
      <c r="M149" s="194"/>
    </row>
  </sheetData>
  <sheetProtection algorithmName="SHA-512" hashValue="iawL0sX9Asr/cJLfjfOzG2YDNuyEZT5LKtpjAwq9tD05XhohO7NMYTMGvzhdN/w+iQzzzqdxL6i8sKBTzRNYhA==" saltValue="W7lhYC7JjJOtEarJN0QD2w==" spinCount="100000" sheet="1" objects="1" scenarios="1" selectLockedCells="1"/>
  <mergeCells count="11">
    <mergeCell ref="X18:Y18"/>
    <mergeCell ref="Z18:AA18"/>
    <mergeCell ref="C20:J20"/>
    <mergeCell ref="C86:J86"/>
    <mergeCell ref="M123:M124"/>
    <mergeCell ref="K17:L17"/>
    <mergeCell ref="C11:D11"/>
    <mergeCell ref="C9:D9"/>
    <mergeCell ref="F10:M10"/>
    <mergeCell ref="K11:L11"/>
    <mergeCell ref="K16:L16"/>
  </mergeCells>
  <conditionalFormatting sqref="C121 C104:J104">
    <cfRule type="iconSet" priority="9">
      <iconSet iconSet="3Symbols">
        <cfvo type="percent" val="0"/>
        <cfvo type="num" val="-2.9"/>
        <cfvo type="num" val="-2"/>
      </iconSet>
    </cfRule>
  </conditionalFormatting>
  <conditionalFormatting sqref="C122:J122">
    <cfRule type="iconSet" priority="4">
      <iconSet iconSet="3Symbols">
        <cfvo type="percent" val="0"/>
        <cfvo type="num" val="-2.9"/>
        <cfvo type="num" val="-2"/>
      </iconSet>
    </cfRule>
  </conditionalFormatting>
  <conditionalFormatting sqref="C123:J123">
    <cfRule type="iconSet" priority="2">
      <iconSet iconSet="3Symbols">
        <cfvo type="percent" val="0"/>
        <cfvo type="num" val="-2.9"/>
        <cfvo type="num" val="-2"/>
      </iconSet>
    </cfRule>
  </conditionalFormatting>
  <conditionalFormatting sqref="D121">
    <cfRule type="iconSet" priority="8">
      <iconSet iconSet="3Symbols">
        <cfvo type="percent" val="0"/>
        <cfvo type="num" val="-2.9"/>
        <cfvo type="num" val="-2"/>
      </iconSet>
    </cfRule>
  </conditionalFormatting>
  <conditionalFormatting sqref="E121:I121">
    <cfRule type="iconSet" priority="7">
      <iconSet iconSet="3Symbols">
        <cfvo type="percent" val="0"/>
        <cfvo type="num" val="-2.9"/>
        <cfvo type="num" val="-2"/>
      </iconSet>
    </cfRule>
  </conditionalFormatting>
  <conditionalFormatting sqref="J121">
    <cfRule type="iconSet" priority="6">
      <iconSet iconSet="3Symbols">
        <cfvo type="percent" val="0"/>
        <cfvo type="num" val="-2.9"/>
        <cfvo type="num" val="-2"/>
      </iconSet>
    </cfRule>
  </conditionalFormatting>
  <conditionalFormatting sqref="K121">
    <cfRule type="iconSet" priority="3">
      <iconSet iconSet="3Symbols">
        <cfvo type="percent" val="0"/>
        <cfvo type="num" val="-2.9"/>
        <cfvo type="num" val="-2"/>
      </iconSet>
    </cfRule>
  </conditionalFormatting>
  <conditionalFormatting sqref="K122">
    <cfRule type="iconSet" priority="5">
      <iconSet iconSet="3Symbols">
        <cfvo type="percent" val="0"/>
        <cfvo type="num" val="-2.9"/>
        <cfvo type="num" val="-2"/>
      </iconSet>
    </cfRule>
  </conditionalFormatting>
  <conditionalFormatting sqref="L123">
    <cfRule type="iconSet" priority="1">
      <iconSet iconSet="3Symbols">
        <cfvo type="percent" val="0"/>
        <cfvo type="num" val="-2.9"/>
        <cfvo type="num" val="-2"/>
      </iconSet>
    </cfRule>
  </conditionalFormatting>
  <dataValidations count="8">
    <dataValidation operator="greaterThanOrEqual" allowBlank="1" showErrorMessage="1" errorTitle="DATA ERROR" error="Final impedancevalue must be over 2 ohm" sqref="D26:J26" xr:uid="{00000000-0002-0000-0300-000000000000}"/>
    <dataValidation type="list" allowBlank="1" showInputMessage="1" showErrorMessage="1" sqref="C14:J14" xr:uid="{00000000-0002-0000-0300-000001000000}">
      <formula1>$G$2:$G$6</formula1>
    </dataValidation>
    <dataValidation type="list" allowBlank="1" showInputMessage="1" showErrorMessage="1" sqref="C10" xr:uid="{00000000-0002-0000-0300-000002000000}">
      <formula1>$AD$3:$AD$11</formula1>
    </dataValidation>
    <dataValidation type="list" allowBlank="1" showInputMessage="1" showErrorMessage="1" sqref="E17:J17" xr:uid="{00000000-0002-0000-0300-000003000000}">
      <formula1>$W$12:$W$17</formula1>
    </dataValidation>
    <dataValidation type="decimal" allowBlank="1" showErrorMessage="1" errorTitle="ERROR" error="Allowed value between 2 and 128" sqref="C15:J15" xr:uid="{00000000-0002-0000-0300-000004000000}">
      <formula1>2</formula1>
      <formula2>128</formula2>
    </dataValidation>
    <dataValidation type="decimal" operator="greaterThanOrEqual" allowBlank="1" showErrorMessage="1" errorTitle="DATA ERROR" error="Final impedancevalue must be over 2 ohm" sqref="C26" xr:uid="{00000000-0002-0000-0300-000005000000}">
      <formula1>1.5</formula1>
    </dataValidation>
    <dataValidation type="list" allowBlank="1" showInputMessage="1" showErrorMessage="1" sqref="C17:D17" xr:uid="{E2BF5FE1-2475-408E-B53F-EC0854CAC624}">
      <formula1>$W$12:$W$16</formula1>
    </dataValidation>
    <dataValidation type="list" allowBlank="1" showInputMessage="1" showErrorMessage="1" sqref="C9:D9" xr:uid="{00000000-0002-0000-0300-000006000000}">
      <formula1>$P$2:$U$2</formula1>
    </dataValidation>
  </dataValidations>
  <pageMargins left="0.75" right="0.75" top="1" bottom="1" header="0.5" footer="0.5"/>
  <pageSetup paperSize="9" orientation="portrait" horizontalDpi="4294967292" verticalDpi="4294967292"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1c7e0ba-ccf0-4af9-ad8e-aa5f4edaf263">
      <UserInfo>
        <DisplayName>Rick Woida</DisplayName>
        <AccountId>22</AccountId>
        <AccountType/>
      </UserInfo>
    </SharedWithUsers>
    <lcf76f155ced4ddcb4097134ff3c332f xmlns="e0c05b66-79f4-4ee1-a692-9ce889c0730c">
      <Terms xmlns="http://schemas.microsoft.com/office/infopath/2007/PartnerControls"/>
    </lcf76f155ced4ddcb4097134ff3c332f>
    <TaxCatchAll xmlns="61c7e0ba-ccf0-4af9-ad8e-aa5f4edaf26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6FC754FFAE3AD44AE2FA1215E137D9F" ma:contentTypeVersion="18" ma:contentTypeDescription="Creare un nuovo documento." ma:contentTypeScope="" ma:versionID="5d991f141c9f0d11bbb38b52cbce3287">
  <xsd:schema xmlns:xsd="http://www.w3.org/2001/XMLSchema" xmlns:xs="http://www.w3.org/2001/XMLSchema" xmlns:p="http://schemas.microsoft.com/office/2006/metadata/properties" xmlns:ns2="e0c05b66-79f4-4ee1-a692-9ce889c0730c" xmlns:ns3="61c7e0ba-ccf0-4af9-ad8e-aa5f4edaf263" targetNamespace="http://schemas.microsoft.com/office/2006/metadata/properties" ma:root="true" ma:fieldsID="59340afc99587668e59174b9d850c1ad" ns2:_="" ns3:_="">
    <xsd:import namespace="e0c05b66-79f4-4ee1-a692-9ce889c0730c"/>
    <xsd:import namespace="61c7e0ba-ccf0-4af9-ad8e-aa5f4edaf263"/>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c05b66-79f4-4ee1-a692-9ce889c073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Tag immagine" ma:readOnly="false" ma:fieldId="{5cf76f15-5ced-4ddc-b409-7134ff3c332f}" ma:taxonomyMulti="true" ma:sspId="4fd5ee63-9c71-4e61-8953-f601376b64c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1c7e0ba-ccf0-4af9-ad8e-aa5f4edaf263" elementFormDefault="qualified">
    <xsd:import namespace="http://schemas.microsoft.com/office/2006/documentManagement/types"/>
    <xsd:import namespace="http://schemas.microsoft.com/office/infopath/2007/PartnerControls"/>
    <xsd:element name="SharedWithUsers" ma:index="17"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Condiviso con dettagli" ma:internalName="SharedWithDetails" ma:readOnly="true">
      <xsd:simpleType>
        <xsd:restriction base="dms:Note">
          <xsd:maxLength value="255"/>
        </xsd:restriction>
      </xsd:simpleType>
    </xsd:element>
    <xsd:element name="TaxCatchAll" ma:index="22" nillable="true" ma:displayName="Taxonomy Catch All Column" ma:hidden="true" ma:list="{fee079b1-39ad-4c94-bc70-524112d5e1c7}" ma:internalName="TaxCatchAll" ma:showField="CatchAllData" ma:web="61c7e0ba-ccf0-4af9-ad8e-aa5f4edaf2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AEA8C4-5017-4639-8238-5AB278265A1B}">
  <ds:schemaRefs>
    <ds:schemaRef ds:uri="http://schemas.microsoft.com/office/2006/metadata/properties"/>
    <ds:schemaRef ds:uri="e0c05b66-79f4-4ee1-a692-9ce889c0730c"/>
    <ds:schemaRef ds:uri="http://purl.org/dc/dcmitype/"/>
    <ds:schemaRef ds:uri="http://www.w3.org/XML/1998/namespace"/>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61c7e0ba-ccf0-4af9-ad8e-aa5f4edaf263"/>
    <ds:schemaRef ds:uri="http://purl.org/dc/terms/"/>
  </ds:schemaRefs>
</ds:datastoreItem>
</file>

<file path=customXml/itemProps2.xml><?xml version="1.0" encoding="utf-8"?>
<ds:datastoreItem xmlns:ds="http://schemas.openxmlformats.org/officeDocument/2006/customXml" ds:itemID="{368D40DC-12CA-4799-8475-3901C98BA325}">
  <ds:schemaRefs>
    <ds:schemaRef ds:uri="http://schemas.microsoft.com/sharepoint/v3/contenttype/forms"/>
  </ds:schemaRefs>
</ds:datastoreItem>
</file>

<file path=customXml/itemProps3.xml><?xml version="1.0" encoding="utf-8"?>
<ds:datastoreItem xmlns:ds="http://schemas.openxmlformats.org/officeDocument/2006/customXml" ds:itemID="{53A39A71-DD14-4034-86EA-56E90A4813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c05b66-79f4-4ee1-a692-9ce889c0730c"/>
    <ds:schemaRef ds:uri="61c7e0ba-ccf0-4af9-ad8e-aa5f4edaf2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START</vt:lpstr>
      <vt:lpstr>INSTALL Series - 8 Channels</vt:lpstr>
      <vt:lpstr>INSTALL Series - 4 Channels</vt:lpstr>
      <vt:lpstr>INSTALL Series - 2 Channels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Gerard | Niehoff AV distribution &amp; support</dc:creator>
  <cp:lastModifiedBy>Gerard | Niehoff AV distribution &amp; support</cp:lastModifiedBy>
  <dcterms:created xsi:type="dcterms:W3CDTF">2024-05-28T17:30:16Z</dcterms:created>
  <dcterms:modified xsi:type="dcterms:W3CDTF">2025-03-11T08:34:22Z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0x010100B6FC754FFAE3AD44AE2FA1215E137D9F</vt:lpwstr>
  </property>
</Properties>
</file>